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Work Files\Projects\RWANDA_Files\Docs\Data\2024\TMS\"/>
    </mc:Choice>
  </mc:AlternateContent>
  <bookViews>
    <workbookView xWindow="240" yWindow="60" windowWidth="20120" windowHeight="8010"/>
  </bookViews>
  <sheets>
    <sheet name="Road Importance" sheetId="4" r:id="rId1"/>
    <sheet name="Load Characteristics &amp; Overload" sheetId="1" r:id="rId2"/>
    <sheet name="SCF" sheetId="2" r:id="rId3"/>
    <sheet name="Queuing length" sheetId="8" r:id="rId4"/>
    <sheet name="E80_Working" sheetId="6" state="hidden" r:id="rId5"/>
    <sheet name="Blading Frequency" sheetId="7" state="hidden" r:id="rId6"/>
  </sheets>
  <definedNames>
    <definedName name="_xlnm._FilterDatabase" localSheetId="0" hidden="1">'Road Importance'!$A$6:$F$6</definedName>
    <definedName name="_xlnm.Print_Area" localSheetId="1">'Load Characteristics &amp; Overload'!$B$2:$Q$50</definedName>
  </definedNames>
  <calcPr calcId="152511"/>
</workbook>
</file>

<file path=xl/calcChain.xml><?xml version="1.0" encoding="utf-8"?>
<calcChain xmlns="http://schemas.openxmlformats.org/spreadsheetml/2006/main">
  <c r="C21" i="8" l="1"/>
  <c r="D19" i="8" s="1"/>
  <c r="C13" i="8"/>
  <c r="D12" i="8" s="1"/>
  <c r="C5" i="8"/>
  <c r="C6" i="8" l="1"/>
  <c r="C7" i="8"/>
  <c r="D20" i="8"/>
  <c r="D10" i="8"/>
  <c r="D11" i="8"/>
  <c r="D18" i="8"/>
  <c r="C14" i="8" l="1"/>
  <c r="C22" i="8"/>
  <c r="N41" i="1"/>
  <c r="M41" i="1"/>
  <c r="Z22" i="2"/>
  <c r="Y22" i="2"/>
  <c r="Z21" i="2"/>
  <c r="Y21" i="2"/>
  <c r="Z20" i="2"/>
  <c r="Y20" i="2"/>
  <c r="Z19" i="2"/>
  <c r="Y19" i="2"/>
  <c r="Z18" i="2"/>
  <c r="Y18" i="2"/>
  <c r="Z17" i="2"/>
  <c r="Y17" i="2"/>
  <c r="Z16" i="2"/>
  <c r="Y16" i="2"/>
  <c r="Z15" i="2"/>
  <c r="Y15" i="2"/>
  <c r="Z14" i="2"/>
  <c r="Y14" i="2"/>
  <c r="Z13" i="2"/>
  <c r="Y13" i="2"/>
  <c r="Z12" i="2"/>
  <c r="Y12" i="2"/>
  <c r="Z11" i="2"/>
  <c r="Y11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H22" i="2"/>
  <c r="H21" i="2"/>
  <c r="H20" i="2"/>
  <c r="H19" i="2"/>
  <c r="H18" i="2"/>
  <c r="H17" i="2"/>
  <c r="H16" i="2"/>
  <c r="H15" i="2"/>
  <c r="H14" i="2"/>
  <c r="H13" i="2"/>
  <c r="H12" i="2"/>
  <c r="H11" i="2"/>
  <c r="G12" i="2"/>
  <c r="G13" i="2"/>
  <c r="G14" i="2"/>
  <c r="G15" i="2"/>
  <c r="G16" i="2"/>
  <c r="G17" i="2"/>
  <c r="G18" i="2"/>
  <c r="G19" i="2"/>
  <c r="G20" i="2"/>
  <c r="G21" i="2"/>
  <c r="G22" i="2"/>
  <c r="G11" i="2"/>
  <c r="H30" i="1" l="1"/>
  <c r="O43" i="1" s="1"/>
  <c r="H31" i="1"/>
  <c r="O44" i="1" s="1"/>
  <c r="H35" i="1"/>
  <c r="O48" i="1" s="1"/>
  <c r="H28" i="1"/>
  <c r="O41" i="1" s="1"/>
  <c r="G29" i="1"/>
  <c r="H29" i="1" s="1"/>
  <c r="O42" i="1" s="1"/>
  <c r="G30" i="1"/>
  <c r="G31" i="1"/>
  <c r="G32" i="1"/>
  <c r="H32" i="1" s="1"/>
  <c r="O45" i="1" s="1"/>
  <c r="G33" i="1"/>
  <c r="H33" i="1" s="1"/>
  <c r="O46" i="1" s="1"/>
  <c r="G34" i="1"/>
  <c r="H34" i="1" s="1"/>
  <c r="O47" i="1" s="1"/>
  <c r="G35" i="1"/>
  <c r="G36" i="1"/>
  <c r="H36" i="1" s="1"/>
  <c r="O49" i="1" s="1"/>
  <c r="G37" i="1"/>
  <c r="H37" i="1" s="1"/>
  <c r="O50" i="1" s="1"/>
  <c r="G28" i="1"/>
  <c r="N42" i="1"/>
  <c r="N43" i="1"/>
  <c r="N44" i="1"/>
  <c r="N45" i="1"/>
  <c r="N46" i="1"/>
  <c r="N47" i="1"/>
  <c r="N48" i="1"/>
  <c r="N49" i="1"/>
  <c r="N50" i="1"/>
  <c r="M50" i="1"/>
  <c r="M49" i="1"/>
  <c r="M47" i="1"/>
  <c r="M44" i="1"/>
  <c r="M48" i="1"/>
  <c r="M46" i="1"/>
  <c r="M45" i="1"/>
  <c r="M43" i="1"/>
  <c r="M42" i="1"/>
  <c r="Q42" i="1" l="1"/>
  <c r="P42" i="1"/>
  <c r="Q48" i="1"/>
  <c r="P48" i="1"/>
  <c r="Q45" i="1"/>
  <c r="P45" i="1"/>
  <c r="P49" i="1"/>
  <c r="Q49" i="1"/>
  <c r="Q44" i="1"/>
  <c r="P44" i="1"/>
  <c r="P50" i="1"/>
  <c r="Q50" i="1"/>
  <c r="P41" i="1"/>
  <c r="Q41" i="1"/>
  <c r="Q47" i="1"/>
  <c r="P47" i="1"/>
  <c r="P46" i="1"/>
  <c r="Q46" i="1"/>
  <c r="Q43" i="1"/>
  <c r="P43" i="1"/>
</calcChain>
</file>

<file path=xl/sharedStrings.xml><?xml version="1.0" encoding="utf-8"?>
<sst xmlns="http://schemas.openxmlformats.org/spreadsheetml/2006/main" count="240" uniqueCount="154">
  <si>
    <t>Step : 1</t>
  </si>
  <si>
    <t>S.no</t>
  </si>
  <si>
    <t>Axle Type</t>
  </si>
  <si>
    <t>No.of Tyres</t>
  </si>
  <si>
    <t>Single Axle - Single Wheel</t>
  </si>
  <si>
    <t>Single Axle - Dual Wheel</t>
  </si>
  <si>
    <t>Tandem Axle - Single Wheel</t>
  </si>
  <si>
    <t>Tandem Axle - Dual Wheel</t>
  </si>
  <si>
    <t>Tridem Axle - Dual Wheel</t>
  </si>
  <si>
    <t>Tridem Axle - Single Wheel</t>
  </si>
  <si>
    <t>((2*Axle Load)/6626)^4</t>
  </si>
  <si>
    <t>((2*Axle Load)/8155)^4</t>
  </si>
  <si>
    <t>((2* 1st Axle Load)/6626)^4 + ((2* 2nd Axle Load)/6626)^4</t>
  </si>
  <si>
    <t>((2* 1st Axle Load)/6626)^4 + ((2* 2nd Axle Load)/6626)^4 + ((2* 3rd Axle Load)/6626)^4</t>
  </si>
  <si>
    <t>Step : 2</t>
  </si>
  <si>
    <t>Axle Configuration</t>
  </si>
  <si>
    <t>((2*(1st Axle Load + 2nd Axle Load))/15086)^4</t>
  </si>
  <si>
    <t>Configuration</t>
  </si>
  <si>
    <t>SCF</t>
  </si>
  <si>
    <t>Month</t>
  </si>
  <si>
    <t>Petrol</t>
  </si>
  <si>
    <t>Diesel</t>
  </si>
  <si>
    <t>Average</t>
  </si>
  <si>
    <t>January</t>
  </si>
  <si>
    <t>February</t>
  </si>
  <si>
    <t>Mach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</si>
  <si>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</si>
  <si>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</si>
  <si>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</si>
  <si>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</si>
  <si>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</si>
  <si>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</si>
  <si>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</si>
  <si>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</si>
  <si>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</si>
  <si>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((2* 1st Axle Load)/6626)^4 + ((2* 2nd Axle Load)/8155)^4</t>
  </si>
  <si>
    <t>((2* 1st Axle Load)/8155)^4 + ((2 * 2nd Axle Load)/6626)^4</t>
  </si>
  <si>
    <t>((2* 1st Axle Load)/6626)^4 + ((2*(2nd Axle Load + 3rd Axle Load))/15086)^4</t>
  </si>
  <si>
    <t>Step : 3</t>
  </si>
  <si>
    <t>Vehicle Axle configuration</t>
  </si>
  <si>
    <t>No.of Loads</t>
  </si>
  <si>
    <t>1.22.222</t>
  </si>
  <si>
    <t>1.12.111</t>
  </si>
  <si>
    <t>1.22.111</t>
  </si>
  <si>
    <t>1.1.222</t>
  </si>
  <si>
    <t>1.12.222</t>
  </si>
  <si>
    <t>1.2.222</t>
  </si>
  <si>
    <t>1.1.22</t>
  </si>
  <si>
    <t>1.2</t>
  </si>
  <si>
    <t>VDF</t>
  </si>
  <si>
    <t>Load in Kgs</t>
  </si>
  <si>
    <t xml:space="preserve">Liftable Single </t>
  </si>
  <si>
    <t>Permissible Vehicle Load (Metric Tonnes)</t>
  </si>
  <si>
    <t>Total Load</t>
  </si>
  <si>
    <t>Permissible Axle Load (Metric Tonnes)</t>
  </si>
  <si>
    <t>Formula for Equivalent Axle Damage Factor</t>
  </si>
  <si>
    <t>8+10</t>
  </si>
  <si>
    <t>8+18</t>
  </si>
  <si>
    <t>8+18+24</t>
  </si>
  <si>
    <t>8+18+22.5</t>
  </si>
  <si>
    <t>8+8+24</t>
  </si>
  <si>
    <t>8+10+24</t>
  </si>
  <si>
    <t>8+8+18</t>
  </si>
  <si>
    <t>8+8+10+22.5</t>
  </si>
  <si>
    <t>8+10+8</t>
  </si>
  <si>
    <t>8+8+10+24</t>
  </si>
  <si>
    <t>Permissible Load including 5% Tolerance</t>
  </si>
  <si>
    <t>5% Tolerance (Metric Tonnes)</t>
  </si>
  <si>
    <t>Remarks</t>
  </si>
  <si>
    <t>Overload</t>
  </si>
  <si>
    <t xml:space="preserve">Percentage of Overload weight </t>
  </si>
  <si>
    <t>Road name</t>
  </si>
  <si>
    <t>Road No</t>
  </si>
  <si>
    <t>Lane Configuration</t>
  </si>
  <si>
    <t>AADT</t>
  </si>
  <si>
    <t>Step : 4</t>
  </si>
  <si>
    <t>Step 1</t>
  </si>
  <si>
    <t>AADT Mode Wise</t>
  </si>
  <si>
    <t>Bus</t>
  </si>
  <si>
    <t>LCV</t>
  </si>
  <si>
    <t>2Axle</t>
  </si>
  <si>
    <t>3 Axle</t>
  </si>
  <si>
    <t>MAV</t>
  </si>
  <si>
    <t>VDF Mode Wise</t>
  </si>
  <si>
    <t>Step 2</t>
  </si>
  <si>
    <t>Directional Distribution</t>
  </si>
  <si>
    <t>LCW</t>
  </si>
  <si>
    <t>RCW</t>
  </si>
  <si>
    <t>Step 3</t>
  </si>
  <si>
    <t>Step 4</t>
  </si>
  <si>
    <t>Lane Distribution factor</t>
  </si>
  <si>
    <t>Total GVW including Tolerance(Metric Tonnes)</t>
  </si>
  <si>
    <t>((2* (1st Axle Load + 2nd Axle Load + 3rd Axle Load))/22834)^4</t>
  </si>
  <si>
    <t>((2* (1st Axle Load + 2nd Axle Load))/15086)^4 + ((2* 3rd Axle Load)/6626)^4</t>
  </si>
  <si>
    <t>Road Type</t>
  </si>
  <si>
    <t>NH/SH/MDR/OSR/VR</t>
  </si>
  <si>
    <t>&gt; Dialog box should be made to choose Road category</t>
  </si>
  <si>
    <t>&gt;  Roads having highest AADT to Lowest AADT Should be arranged (Decresing Order)</t>
  </si>
  <si>
    <t>No.of Locations</t>
  </si>
  <si>
    <t>1/2/3/4/5</t>
  </si>
  <si>
    <t>No.of Cycles</t>
  </si>
  <si>
    <t>For reference 3 locations and with 2 cycles are shown.</t>
  </si>
  <si>
    <t>The results should be shown in below Tabular form</t>
  </si>
  <si>
    <t>NR001</t>
  </si>
  <si>
    <t>NR002</t>
  </si>
  <si>
    <t>NR003</t>
  </si>
  <si>
    <t>NR004</t>
  </si>
  <si>
    <t>NR005</t>
  </si>
  <si>
    <t>NR007</t>
  </si>
  <si>
    <t>NR010</t>
  </si>
  <si>
    <t>NR011</t>
  </si>
  <si>
    <t>NR016</t>
  </si>
  <si>
    <t>Kigali-Giticyinyoni</t>
  </si>
  <si>
    <t>Gakenke-Musanze</t>
  </si>
  <si>
    <t>Nyabugogo-Karuruma</t>
  </si>
  <si>
    <t>Remera-Rugende</t>
  </si>
  <si>
    <t>Nyamata-Gahembe</t>
  </si>
  <si>
    <t>Kinazi-Ruhango</t>
  </si>
  <si>
    <t>Karubanda-Nyamagabe</t>
  </si>
  <si>
    <t>Rusizi I-Gihundwe</t>
  </si>
  <si>
    <t>Meru-Ngororero</t>
  </si>
  <si>
    <t>2 Lane</t>
  </si>
  <si>
    <t>4 Lane</t>
  </si>
  <si>
    <r>
      <rPr>
        <b/>
        <sz val="10"/>
        <color theme="1"/>
        <rFont val="Arial Narrow"/>
        <family val="2"/>
      </rPr>
      <t>Note:</t>
    </r>
    <r>
      <rPr>
        <sz val="10"/>
        <color theme="1"/>
        <rFont val="Arial Narrow"/>
        <family val="2"/>
      </rPr>
      <t xml:space="preserve"> Details are given for reference</t>
    </r>
  </si>
  <si>
    <t>Inputs</t>
  </si>
  <si>
    <t>Cycle Time in Seconds</t>
  </si>
  <si>
    <t>No.of cycles per hour</t>
  </si>
  <si>
    <t>(60*60)/90</t>
  </si>
  <si>
    <t>Formula</t>
  </si>
  <si>
    <t xml:space="preserve">Green Time + Amber Time + Red Time </t>
  </si>
  <si>
    <t>Peak hour right turning vehicles</t>
  </si>
  <si>
    <t>No.of right turning Vehicles per hour</t>
  </si>
  <si>
    <t>Peak hour through vehicles</t>
  </si>
  <si>
    <t>No.of Right turning Vehicles per Cycle</t>
  </si>
  <si>
    <t>Peak hour right turning vehicles/(Green Time + Amber Time + Red Time)</t>
  </si>
  <si>
    <t>No.of Right Through Vehicles per Cycle</t>
  </si>
  <si>
    <t>Peak hour through vehicles/(Green Time + Amber Time + Red Time)</t>
  </si>
  <si>
    <t>Traffic Composition of Right turn traffic</t>
  </si>
  <si>
    <t>Traffic Composition of Through traffic</t>
  </si>
  <si>
    <t>Cars</t>
  </si>
  <si>
    <t>Buses</t>
  </si>
  <si>
    <t>Trucks</t>
  </si>
  <si>
    <t>Volume</t>
  </si>
  <si>
    <t>Percentage</t>
  </si>
  <si>
    <t>Total</t>
  </si>
  <si>
    <t>Queuing length for Right Turning Traffic</t>
  </si>
  <si>
    <t>m</t>
  </si>
  <si>
    <t>Queuing length forThrough Traffic</t>
  </si>
  <si>
    <t>No.of Through vehicles per hour(in one direction)</t>
  </si>
  <si>
    <t>Length of Vehicle (m)</t>
  </si>
  <si>
    <t>tlLegalMaxWeight</t>
  </si>
  <si>
    <t>tlAxleConfiguration</t>
  </si>
  <si>
    <t>Final calculations to find VDF and overloading</t>
  </si>
  <si>
    <t>tlVehAxleType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</si>
</sst>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9" fontId="2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19" sqref="E19"/>
    </sheetView>
  </sheetViews>
  <sheetFormatPr defaultColWidth="9.1796875" defaultRowHeight="15" customHeight="1" x14ac:dyDescent="0.3"/>
  <cols>
    <col min="1" max="1" width="11.54296875" style="32" customWidth="1"/>
    <col min="2" max="2" width="24.1796875" style="32" customWidth="1"/>
    <col min="3" max="3" width="15.453125" style="32" customWidth="1"/>
    <col min="4" max="4" width="14.81640625" style="32" customWidth="1"/>
    <col min="5" max="5" width="18.7265625" style="2" customWidth="1"/>
    <col min="6" max="6" width="17.81640625" style="32" customWidth="1"/>
    <col min="7" max="16384" width="9.1796875" style="32"/>
  </cols>
  <sheetData>
    <row r="1" spans="1:6" ht="15" customHeight="1" x14ac:dyDescent="0.3">
      <c r="A1" s="35" t="s">
        <v>94</v>
      </c>
      <c r="B1" s="32" t="s">
        <v>95</v>
      </c>
    </row>
    <row r="2" spans="1:6" ht="15" customHeight="1" x14ac:dyDescent="0.3">
      <c r="B2" s="72" t="s">
        <v>96</v>
      </c>
      <c r="C2" s="72"/>
      <c r="D2" s="72"/>
      <c r="E2" s="72"/>
      <c r="F2" s="72"/>
    </row>
    <row r="3" spans="1:6" ht="15" customHeight="1" x14ac:dyDescent="0.3">
      <c r="B3" s="72" t="s">
        <v>97</v>
      </c>
      <c r="C3" s="72"/>
      <c r="D3" s="72"/>
      <c r="E3" s="72"/>
      <c r="F3" s="72"/>
    </row>
    <row r="4" spans="1:6" ht="15" customHeight="1" x14ac:dyDescent="0.3">
      <c r="B4" s="32" t="s">
        <v>102</v>
      </c>
    </row>
    <row r="6" spans="1:6" ht="15" customHeight="1" x14ac:dyDescent="0.3">
      <c r="A6" s="22" t="s">
        <v>1</v>
      </c>
      <c r="B6" s="22" t="s">
        <v>71</v>
      </c>
      <c r="C6" s="22" t="s">
        <v>72</v>
      </c>
      <c r="D6" s="22" t="s">
        <v>74</v>
      </c>
      <c r="E6" s="22" t="s">
        <v>73</v>
      </c>
      <c r="F6" s="23" t="s">
        <v>68</v>
      </c>
    </row>
    <row r="7" spans="1:6" ht="15" customHeight="1" x14ac:dyDescent="0.3">
      <c r="A7" s="26">
        <v>1</v>
      </c>
      <c r="B7" s="38" t="s">
        <v>112</v>
      </c>
      <c r="C7" s="37" t="s">
        <v>103</v>
      </c>
      <c r="D7" s="39">
        <v>25032</v>
      </c>
      <c r="E7" s="26" t="s">
        <v>121</v>
      </c>
      <c r="F7" s="24"/>
    </row>
    <row r="8" spans="1:6" ht="15" customHeight="1" x14ac:dyDescent="0.3">
      <c r="A8" s="26">
        <v>2</v>
      </c>
      <c r="B8" s="38" t="s">
        <v>114</v>
      </c>
      <c r="C8" s="37" t="s">
        <v>105</v>
      </c>
      <c r="D8" s="39">
        <v>14152</v>
      </c>
      <c r="E8" s="26" t="s">
        <v>122</v>
      </c>
      <c r="F8" s="24"/>
    </row>
    <row r="9" spans="1:6" ht="15" customHeight="1" x14ac:dyDescent="0.3">
      <c r="A9" s="26">
        <v>3</v>
      </c>
      <c r="B9" s="38" t="s">
        <v>115</v>
      </c>
      <c r="C9" s="37" t="s">
        <v>106</v>
      </c>
      <c r="D9" s="39">
        <v>12426</v>
      </c>
      <c r="E9" s="26" t="s">
        <v>122</v>
      </c>
      <c r="F9" s="24"/>
    </row>
    <row r="10" spans="1:6" ht="15" customHeight="1" x14ac:dyDescent="0.3">
      <c r="A10" s="26">
        <v>4</v>
      </c>
      <c r="B10" s="38" t="s">
        <v>116</v>
      </c>
      <c r="C10" s="37" t="s">
        <v>107</v>
      </c>
      <c r="D10" s="39">
        <v>7398</v>
      </c>
      <c r="E10" s="26" t="s">
        <v>121</v>
      </c>
      <c r="F10" s="24"/>
    </row>
    <row r="11" spans="1:6" ht="15" customHeight="1" x14ac:dyDescent="0.3">
      <c r="A11" s="26">
        <v>5</v>
      </c>
      <c r="B11" s="38" t="s">
        <v>113</v>
      </c>
      <c r="C11" s="37" t="s">
        <v>104</v>
      </c>
      <c r="D11" s="39">
        <v>3294</v>
      </c>
      <c r="E11" s="26" t="s">
        <v>121</v>
      </c>
      <c r="F11" s="24"/>
    </row>
    <row r="12" spans="1:6" ht="15" customHeight="1" x14ac:dyDescent="0.3">
      <c r="A12" s="26">
        <v>6</v>
      </c>
      <c r="B12" s="38" t="s">
        <v>119</v>
      </c>
      <c r="C12" s="37" t="s">
        <v>110</v>
      </c>
      <c r="D12" s="39">
        <v>2744</v>
      </c>
      <c r="E12" s="26" t="s">
        <v>122</v>
      </c>
      <c r="F12" s="24"/>
    </row>
    <row r="13" spans="1:6" ht="15" customHeight="1" x14ac:dyDescent="0.3">
      <c r="A13" s="26">
        <v>7</v>
      </c>
      <c r="B13" s="38" t="s">
        <v>117</v>
      </c>
      <c r="C13" s="37" t="s">
        <v>108</v>
      </c>
      <c r="D13" s="39">
        <v>2190</v>
      </c>
      <c r="E13" s="26" t="s">
        <v>121</v>
      </c>
      <c r="F13" s="24"/>
    </row>
    <row r="14" spans="1:6" ht="15" customHeight="1" x14ac:dyDescent="0.3">
      <c r="A14" s="26">
        <v>8</v>
      </c>
      <c r="B14" s="38" t="s">
        <v>118</v>
      </c>
      <c r="C14" s="37" t="s">
        <v>109</v>
      </c>
      <c r="D14" s="39">
        <v>1842</v>
      </c>
      <c r="E14" s="26" t="s">
        <v>122</v>
      </c>
      <c r="F14" s="24"/>
    </row>
    <row r="15" spans="1:6" ht="15" customHeight="1" x14ac:dyDescent="0.3">
      <c r="A15" s="36">
        <v>9</v>
      </c>
      <c r="B15" s="38" t="s">
        <v>120</v>
      </c>
      <c r="C15" s="37" t="s">
        <v>111</v>
      </c>
      <c r="D15" s="39">
        <v>1024</v>
      </c>
      <c r="E15" s="26" t="s">
        <v>121</v>
      </c>
      <c r="F15" s="31"/>
    </row>
    <row r="17" spans="1:1" ht="15" customHeight="1" x14ac:dyDescent="0.3">
      <c r="A17" s="30" t="s">
        <v>123</v>
      </c>
    </row>
  </sheetData>
  <autoFilter ref="A6:F6"/>
  <mergeCells count="2"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0"/>
  <sheetViews>
    <sheetView view="pageBreakPreview" topLeftCell="A31" zoomScaleNormal="100" zoomScaleSheetLayoutView="100" workbookViewId="0">
      <selection activeCell="D14" sqref="D14:I24"/>
    </sheetView>
  </sheetViews>
  <sheetFormatPr defaultColWidth="9.1796875" defaultRowHeight="15" customHeight="1" x14ac:dyDescent="0.35"/>
  <cols>
    <col min="1" max="1" width="9.1796875" style="2"/>
    <col min="2" max="2" width="12.7265625" style="2" customWidth="1"/>
    <col min="3" max="3" width="7.54296875" style="2" customWidth="1"/>
    <col min="4" max="4" width="40.453125" style="2" customWidth="1"/>
    <col min="5" max="5" width="24.81640625" style="2" customWidth="1"/>
    <col min="6" max="6" width="24.7265625" style="2" customWidth="1"/>
    <col min="7" max="7" width="22.81640625" style="2" customWidth="1"/>
    <col min="8" max="8" width="17.7265625" style="2" customWidth="1"/>
    <col min="9" max="9" width="15" style="2" customWidth="1"/>
    <col min="10" max="10" width="12.26953125" style="2" customWidth="1"/>
    <col min="11" max="11" width="11.453125" style="2" customWidth="1"/>
    <col min="12" max="12" width="12.7265625" style="2" customWidth="1"/>
    <col min="13" max="13" width="14" style="2" customWidth="1"/>
    <col min="14" max="14" width="17.453125" style="2" customWidth="1"/>
    <col min="15" max="15" width="21.7265625" style="2" customWidth="1"/>
    <col min="16" max="16" width="16" style="2" customWidth="1"/>
    <col min="17" max="17" width="17" style="2" customWidth="1"/>
    <col min="18" max="16384" width="9.1796875" style="2"/>
  </cols>
  <sheetData>
    <row r="2" spans="2:9" ht="15" customHeight="1" x14ac:dyDescent="0.35">
      <c r="B2" s="1" t="s">
        <v>0</v>
      </c>
      <c r="C2" s="12"/>
      <c r="D2" s="12" t="s">
        <v>150</v>
      </c>
      <c r="E2" s="12"/>
      <c r="F2" s="12"/>
    </row>
    <row r="3" spans="2:9" ht="26" x14ac:dyDescent="0.35">
      <c r="C3" s="6" t="s">
        <v>1</v>
      </c>
      <c r="D3" s="6" t="s">
        <v>2</v>
      </c>
      <c r="E3" s="6" t="s">
        <v>17</v>
      </c>
      <c r="F3" s="19" t="s">
        <v>54</v>
      </c>
    </row>
    <row r="4" spans="2:9" ht="15" customHeight="1" x14ac:dyDescent="0.35">
      <c r="C4" s="3">
        <v>1</v>
      </c>
      <c r="D4" s="4" t="s">
        <v>4</v>
      </c>
      <c r="E4" s="3">
        <v>1</v>
      </c>
      <c r="F4" s="5">
        <v>8</v>
      </c>
    </row>
    <row r="5" spans="2:9" ht="15" customHeight="1" x14ac:dyDescent="0.35">
      <c r="C5" s="3">
        <v>2</v>
      </c>
      <c r="D5" s="4" t="s">
        <v>5</v>
      </c>
      <c r="E5" s="3">
        <v>2</v>
      </c>
      <c r="F5" s="5">
        <v>10</v>
      </c>
    </row>
    <row r="6" spans="2:9" ht="15" customHeight="1" x14ac:dyDescent="0.35">
      <c r="C6" s="54">
        <v>3</v>
      </c>
      <c r="D6" s="4" t="s">
        <v>7</v>
      </c>
      <c r="E6" s="3">
        <v>22</v>
      </c>
      <c r="F6" s="5">
        <v>18</v>
      </c>
    </row>
    <row r="7" spans="2:9" ht="15" customHeight="1" x14ac:dyDescent="0.35">
      <c r="C7" s="55"/>
      <c r="D7" s="4" t="s">
        <v>6</v>
      </c>
      <c r="E7" s="3">
        <v>11</v>
      </c>
      <c r="F7" s="5">
        <v>16</v>
      </c>
    </row>
    <row r="8" spans="2:9" ht="15" customHeight="1" x14ac:dyDescent="0.35">
      <c r="C8" s="54">
        <v>4</v>
      </c>
      <c r="D8" s="4" t="s">
        <v>8</v>
      </c>
      <c r="E8" s="3">
        <v>222</v>
      </c>
      <c r="F8" s="5">
        <v>24</v>
      </c>
    </row>
    <row r="9" spans="2:9" ht="15" customHeight="1" x14ac:dyDescent="0.35">
      <c r="C9" s="55"/>
      <c r="D9" s="4" t="s">
        <v>9</v>
      </c>
      <c r="E9" s="3">
        <v>111</v>
      </c>
      <c r="F9" s="5">
        <v>22.5</v>
      </c>
    </row>
    <row r="10" spans="2:9" ht="15" customHeight="1" x14ac:dyDescent="0.35">
      <c r="C10" s="3">
        <v>5</v>
      </c>
      <c r="D10" s="4" t="s">
        <v>51</v>
      </c>
      <c r="E10" s="3">
        <v>2</v>
      </c>
      <c r="F10" s="5">
        <v>10</v>
      </c>
    </row>
    <row r="11" spans="2:9" ht="15" customHeight="1" x14ac:dyDescent="0.35">
      <c r="C11" s="3">
        <v>6</v>
      </c>
      <c r="D11" s="4" t="s">
        <v>51</v>
      </c>
      <c r="E11" s="3">
        <v>1</v>
      </c>
      <c r="F11" s="5">
        <v>8.5</v>
      </c>
    </row>
    <row r="13" spans="2:9" ht="15" customHeight="1" x14ac:dyDescent="0.35">
      <c r="B13" s="1" t="s">
        <v>14</v>
      </c>
      <c r="C13" s="7"/>
      <c r="D13" s="7" t="s">
        <v>151</v>
      </c>
      <c r="E13" s="7"/>
      <c r="F13" s="7"/>
      <c r="G13" s="7"/>
      <c r="H13" s="7"/>
      <c r="I13" s="7"/>
    </row>
    <row r="14" spans="2:9" ht="15" customHeight="1" x14ac:dyDescent="0.35">
      <c r="C14" s="6" t="s">
        <v>1</v>
      </c>
      <c r="D14" s="6" t="s">
        <v>15</v>
      </c>
      <c r="E14" s="6" t="s">
        <v>3</v>
      </c>
      <c r="F14" s="6" t="s">
        <v>40</v>
      </c>
      <c r="G14" s="56" t="s">
        <v>55</v>
      </c>
      <c r="H14" s="57"/>
      <c r="I14" s="58"/>
    </row>
    <row r="15" spans="2:9" ht="15" customHeight="1" x14ac:dyDescent="0.35">
      <c r="C15" s="3">
        <v>1</v>
      </c>
      <c r="D15" s="3">
        <v>1</v>
      </c>
      <c r="E15" s="3">
        <v>2</v>
      </c>
      <c r="F15" s="3">
        <v>1</v>
      </c>
      <c r="G15" s="51" t="s">
        <v>10</v>
      </c>
      <c r="H15" s="52"/>
      <c r="I15" s="53"/>
    </row>
    <row r="16" spans="2:9" ht="15" customHeight="1" x14ac:dyDescent="0.35">
      <c r="C16" s="3">
        <v>2</v>
      </c>
      <c r="D16" s="3">
        <v>2</v>
      </c>
      <c r="E16" s="3">
        <v>4</v>
      </c>
      <c r="F16" s="3">
        <v>1</v>
      </c>
      <c r="G16" s="51" t="s">
        <v>11</v>
      </c>
      <c r="H16" s="52"/>
      <c r="I16" s="53"/>
    </row>
    <row r="17" spans="2:9" ht="15" customHeight="1" x14ac:dyDescent="0.35">
      <c r="C17" s="3">
        <v>3</v>
      </c>
      <c r="D17" s="3">
        <v>22</v>
      </c>
      <c r="E17" s="3">
        <v>8</v>
      </c>
      <c r="F17" s="3">
        <v>2</v>
      </c>
      <c r="G17" s="51" t="s">
        <v>16</v>
      </c>
      <c r="H17" s="52"/>
      <c r="I17" s="53"/>
    </row>
    <row r="18" spans="2:9" ht="15" customHeight="1" x14ac:dyDescent="0.35">
      <c r="C18" s="3">
        <v>4</v>
      </c>
      <c r="D18" s="3">
        <v>11</v>
      </c>
      <c r="E18" s="3">
        <v>2</v>
      </c>
      <c r="F18" s="3">
        <v>2</v>
      </c>
      <c r="G18" s="51" t="s">
        <v>12</v>
      </c>
      <c r="H18" s="52"/>
      <c r="I18" s="53"/>
    </row>
    <row r="19" spans="2:9" ht="15" customHeight="1" x14ac:dyDescent="0.35">
      <c r="C19" s="3">
        <v>5</v>
      </c>
      <c r="D19" s="3">
        <v>222</v>
      </c>
      <c r="E19" s="3">
        <v>12</v>
      </c>
      <c r="F19" s="3">
        <v>3</v>
      </c>
      <c r="G19" s="51" t="s">
        <v>92</v>
      </c>
      <c r="H19" s="52"/>
      <c r="I19" s="53"/>
    </row>
    <row r="20" spans="2:9" ht="15" customHeight="1" x14ac:dyDescent="0.35">
      <c r="C20" s="3">
        <v>6</v>
      </c>
      <c r="D20" s="3">
        <v>111</v>
      </c>
      <c r="E20" s="3">
        <v>6</v>
      </c>
      <c r="F20" s="3">
        <v>3</v>
      </c>
      <c r="G20" s="51" t="s">
        <v>13</v>
      </c>
      <c r="H20" s="52"/>
      <c r="I20" s="53"/>
    </row>
    <row r="21" spans="2:9" ht="15" customHeight="1" x14ac:dyDescent="0.35">
      <c r="C21" s="3">
        <v>7</v>
      </c>
      <c r="D21" s="3">
        <v>12</v>
      </c>
      <c r="E21" s="3">
        <v>6</v>
      </c>
      <c r="F21" s="3">
        <v>2</v>
      </c>
      <c r="G21" s="51" t="s">
        <v>35</v>
      </c>
      <c r="H21" s="52"/>
      <c r="I21" s="53"/>
    </row>
    <row r="22" spans="2:9" ht="15" customHeight="1" x14ac:dyDescent="0.35">
      <c r="C22" s="3">
        <v>8</v>
      </c>
      <c r="D22" s="3">
        <v>21</v>
      </c>
      <c r="E22" s="3">
        <v>6</v>
      </c>
      <c r="F22" s="3">
        <v>2</v>
      </c>
      <c r="G22" s="51" t="s">
        <v>36</v>
      </c>
      <c r="H22" s="52"/>
      <c r="I22" s="53"/>
    </row>
    <row r="23" spans="2:9" ht="15" customHeight="1" x14ac:dyDescent="0.35">
      <c r="C23" s="3">
        <v>9</v>
      </c>
      <c r="D23" s="3">
        <v>122</v>
      </c>
      <c r="E23" s="3">
        <v>10</v>
      </c>
      <c r="F23" s="3">
        <v>3</v>
      </c>
      <c r="G23" s="51" t="s">
        <v>37</v>
      </c>
      <c r="H23" s="52"/>
      <c r="I23" s="53"/>
    </row>
    <row r="24" spans="2:9" ht="15" customHeight="1" x14ac:dyDescent="0.35">
      <c r="C24" s="3">
        <v>10</v>
      </c>
      <c r="D24" s="3">
        <v>221</v>
      </c>
      <c r="E24" s="3">
        <v>10</v>
      </c>
      <c r="F24" s="3">
        <v>3</v>
      </c>
      <c r="G24" s="51" t="s">
        <v>93</v>
      </c>
      <c r="H24" s="52"/>
      <c r="I24" s="53"/>
    </row>
    <row r="25" spans="2:9" ht="15" customHeight="1" x14ac:dyDescent="0.35">
      <c r="C25" s="9"/>
      <c r="D25" s="9"/>
      <c r="E25" s="10"/>
    </row>
    <row r="26" spans="2:9" ht="15" customHeight="1" x14ac:dyDescent="0.35">
      <c r="B26" s="1" t="s">
        <v>38</v>
      </c>
      <c r="C26" s="9"/>
      <c r="D26" s="73" t="s">
        <v>153</v>
      </c>
      <c r="E26" s="10"/>
    </row>
    <row r="27" spans="2:9" ht="39" x14ac:dyDescent="0.35">
      <c r="C27" s="6" t="s">
        <v>1</v>
      </c>
      <c r="D27" s="19" t="s">
        <v>39</v>
      </c>
      <c r="E27" s="19" t="s">
        <v>52</v>
      </c>
      <c r="F27" s="19" t="s">
        <v>52</v>
      </c>
      <c r="G27" s="19" t="s">
        <v>67</v>
      </c>
      <c r="H27" s="19" t="s">
        <v>91</v>
      </c>
    </row>
    <row r="28" spans="2:9" ht="15" customHeight="1" x14ac:dyDescent="0.35">
      <c r="C28" s="3">
        <v>1</v>
      </c>
      <c r="D28" s="8" t="s">
        <v>48</v>
      </c>
      <c r="E28" s="3" t="s">
        <v>56</v>
      </c>
      <c r="F28" s="3">
        <v>18</v>
      </c>
      <c r="G28" s="5">
        <f>F28*0.05</f>
        <v>0.9</v>
      </c>
      <c r="H28" s="5">
        <f>G28+F28</f>
        <v>18.899999999999999</v>
      </c>
    </row>
    <row r="29" spans="2:9" ht="15" customHeight="1" x14ac:dyDescent="0.35">
      <c r="C29" s="3">
        <v>2</v>
      </c>
      <c r="D29" s="8">
        <v>1.22</v>
      </c>
      <c r="E29" s="3" t="s">
        <v>57</v>
      </c>
      <c r="F29" s="3">
        <v>26</v>
      </c>
      <c r="G29" s="5">
        <f t="shared" ref="G29:G37" si="0">F29*0.05</f>
        <v>1.3</v>
      </c>
      <c r="H29" s="5">
        <f t="shared" ref="H29:H37" si="1">G29+F29</f>
        <v>27.3</v>
      </c>
    </row>
    <row r="30" spans="2:9" ht="15" customHeight="1" x14ac:dyDescent="0.35">
      <c r="C30" s="3">
        <v>3</v>
      </c>
      <c r="D30" s="8" t="s">
        <v>41</v>
      </c>
      <c r="E30" s="3" t="s">
        <v>58</v>
      </c>
      <c r="F30" s="3">
        <v>50</v>
      </c>
      <c r="G30" s="5">
        <f t="shared" si="0"/>
        <v>2.5</v>
      </c>
      <c r="H30" s="5">
        <f t="shared" si="1"/>
        <v>52.5</v>
      </c>
    </row>
    <row r="31" spans="2:9" ht="15" customHeight="1" x14ac:dyDescent="0.35">
      <c r="C31" s="3">
        <v>4</v>
      </c>
      <c r="D31" s="8" t="s">
        <v>42</v>
      </c>
      <c r="E31" s="3" t="s">
        <v>63</v>
      </c>
      <c r="F31" s="3">
        <v>48.5</v>
      </c>
      <c r="G31" s="5">
        <f t="shared" si="0"/>
        <v>2.4250000000000003</v>
      </c>
      <c r="H31" s="5">
        <f t="shared" si="1"/>
        <v>50.924999999999997</v>
      </c>
    </row>
    <row r="32" spans="2:9" ht="15" customHeight="1" x14ac:dyDescent="0.35">
      <c r="C32" s="3">
        <v>5</v>
      </c>
      <c r="D32" s="8" t="s">
        <v>43</v>
      </c>
      <c r="E32" s="3" t="s">
        <v>59</v>
      </c>
      <c r="F32" s="3">
        <v>48.5</v>
      </c>
      <c r="G32" s="5">
        <f t="shared" si="0"/>
        <v>2.4250000000000003</v>
      </c>
      <c r="H32" s="5">
        <f t="shared" si="1"/>
        <v>50.924999999999997</v>
      </c>
    </row>
    <row r="33" spans="2:17" ht="15" customHeight="1" x14ac:dyDescent="0.35">
      <c r="C33" s="3">
        <v>6</v>
      </c>
      <c r="D33" s="8">
        <v>1.21</v>
      </c>
      <c r="E33" s="3" t="s">
        <v>64</v>
      </c>
      <c r="F33" s="3">
        <v>26</v>
      </c>
      <c r="G33" s="5">
        <f t="shared" si="0"/>
        <v>1.3</v>
      </c>
      <c r="H33" s="5">
        <f t="shared" si="1"/>
        <v>27.3</v>
      </c>
    </row>
    <row r="34" spans="2:17" ht="15" customHeight="1" x14ac:dyDescent="0.35">
      <c r="C34" s="3">
        <v>7</v>
      </c>
      <c r="D34" s="8" t="s">
        <v>44</v>
      </c>
      <c r="E34" s="3" t="s">
        <v>60</v>
      </c>
      <c r="F34" s="3">
        <v>40</v>
      </c>
      <c r="G34" s="5">
        <f t="shared" si="0"/>
        <v>2</v>
      </c>
      <c r="H34" s="5">
        <f t="shared" si="1"/>
        <v>42</v>
      </c>
    </row>
    <row r="35" spans="2:17" ht="15" customHeight="1" x14ac:dyDescent="0.35">
      <c r="C35" s="3">
        <v>8</v>
      </c>
      <c r="D35" s="8" t="s">
        <v>45</v>
      </c>
      <c r="E35" s="3" t="s">
        <v>65</v>
      </c>
      <c r="F35" s="3">
        <v>50</v>
      </c>
      <c r="G35" s="5">
        <f t="shared" si="0"/>
        <v>2.5</v>
      </c>
      <c r="H35" s="5">
        <f t="shared" si="1"/>
        <v>52.5</v>
      </c>
    </row>
    <row r="36" spans="2:17" ht="15" customHeight="1" x14ac:dyDescent="0.35">
      <c r="C36" s="3">
        <v>9</v>
      </c>
      <c r="D36" s="8" t="s">
        <v>46</v>
      </c>
      <c r="E36" s="3" t="s">
        <v>61</v>
      </c>
      <c r="F36" s="3">
        <v>42</v>
      </c>
      <c r="G36" s="5">
        <f t="shared" si="0"/>
        <v>2.1</v>
      </c>
      <c r="H36" s="5">
        <f t="shared" si="1"/>
        <v>44.1</v>
      </c>
    </row>
    <row r="37" spans="2:17" ht="15" customHeight="1" x14ac:dyDescent="0.35">
      <c r="C37" s="3">
        <v>10</v>
      </c>
      <c r="D37" s="8" t="s">
        <v>47</v>
      </c>
      <c r="E37" s="3" t="s">
        <v>62</v>
      </c>
      <c r="F37" s="3">
        <v>34</v>
      </c>
      <c r="G37" s="5">
        <f t="shared" si="0"/>
        <v>1.7000000000000002</v>
      </c>
      <c r="H37" s="5">
        <f t="shared" si="1"/>
        <v>35.700000000000003</v>
      </c>
    </row>
    <row r="38" spans="2:17" ht="15" customHeight="1" x14ac:dyDescent="0.35">
      <c r="C38" s="9"/>
      <c r="D38" s="9"/>
      <c r="E38" s="10"/>
    </row>
    <row r="39" spans="2:17" ht="15" customHeight="1" x14ac:dyDescent="0.35">
      <c r="B39" s="1" t="s">
        <v>75</v>
      </c>
      <c r="C39" s="9"/>
      <c r="D39" s="73" t="s">
        <v>152</v>
      </c>
      <c r="E39" s="10"/>
      <c r="F39" s="59"/>
      <c r="G39" s="59"/>
      <c r="H39" s="59"/>
      <c r="I39" s="59"/>
    </row>
    <row r="40" spans="2:17" ht="26" x14ac:dyDescent="0.35">
      <c r="C40" s="6" t="s">
        <v>1</v>
      </c>
      <c r="D40" s="19" t="s">
        <v>39</v>
      </c>
      <c r="E40" s="6" t="s">
        <v>40</v>
      </c>
      <c r="F40" s="56" t="s">
        <v>50</v>
      </c>
      <c r="G40" s="57"/>
      <c r="H40" s="57"/>
      <c r="I40" s="57"/>
      <c r="J40" s="57"/>
      <c r="K40" s="57"/>
      <c r="L40" s="58"/>
      <c r="M40" s="6" t="s">
        <v>49</v>
      </c>
      <c r="N40" s="6" t="s">
        <v>53</v>
      </c>
      <c r="O40" s="19" t="s">
        <v>66</v>
      </c>
      <c r="P40" s="19" t="s">
        <v>69</v>
      </c>
      <c r="Q40" s="19" t="s">
        <v>70</v>
      </c>
    </row>
    <row r="41" spans="2:17" ht="15" customHeight="1" x14ac:dyDescent="0.35">
      <c r="C41" s="3">
        <v>1</v>
      </c>
      <c r="D41" s="8" t="s">
        <v>48</v>
      </c>
      <c r="E41" s="3">
        <v>2</v>
      </c>
      <c r="F41" s="3">
        <v>3650</v>
      </c>
      <c r="G41" s="3">
        <v>7890</v>
      </c>
      <c r="H41" s="3"/>
      <c r="I41" s="3"/>
      <c r="J41" s="3"/>
      <c r="K41" s="3"/>
      <c r="L41" s="3"/>
      <c r="M41" s="11">
        <f>(((F41*2)/6626)^4)+(((G41*2)/8155)^4)</f>
        <v>15.492768807153469</v>
      </c>
      <c r="N41" s="3">
        <f>SUM(F41:L41)*2</f>
        <v>23080</v>
      </c>
      <c r="O41" s="20">
        <f>H28*1000</f>
        <v>18900</v>
      </c>
      <c r="P41" s="3" t="str">
        <f>IF(O41&lt;N41,"Yes","No")</f>
        <v>Yes</v>
      </c>
      <c r="Q41" s="21">
        <f>IF(O41&lt;N41,(N41-O41)/O41,"0")</f>
        <v>0.22116402116402117</v>
      </c>
    </row>
    <row r="42" spans="2:17" ht="15" customHeight="1" x14ac:dyDescent="0.35">
      <c r="C42" s="3">
        <v>2</v>
      </c>
      <c r="D42" s="8">
        <v>1.22</v>
      </c>
      <c r="E42" s="3">
        <v>3</v>
      </c>
      <c r="F42" s="3">
        <v>3050</v>
      </c>
      <c r="G42" s="3">
        <v>6550</v>
      </c>
      <c r="H42" s="3">
        <v>6190</v>
      </c>
      <c r="I42" s="3"/>
      <c r="J42" s="3"/>
      <c r="K42" s="3"/>
      <c r="L42" s="3"/>
      <c r="M42" s="11">
        <f>(((F42*2)/6626)^4)+((((G42+H42)*2)/15086)^4)</f>
        <v>8.8560054272319473</v>
      </c>
      <c r="N42" s="26">
        <f t="shared" ref="N42:N50" si="2">SUM(F42:L42)*2</f>
        <v>31580</v>
      </c>
      <c r="O42" s="20">
        <f t="shared" ref="O42:O50" si="3">H29*1000</f>
        <v>27300</v>
      </c>
      <c r="P42" s="3" t="str">
        <f t="shared" ref="P42:P50" si="4">IF(O42&lt;N42,"Yes","No")</f>
        <v>Yes</v>
      </c>
      <c r="Q42" s="21">
        <f t="shared" ref="Q42:Q50" si="5">IF(O42&lt;N42,(N42-O42)/O42,"0")</f>
        <v>0.15677655677655677</v>
      </c>
    </row>
    <row r="43" spans="2:17" ht="15" customHeight="1" x14ac:dyDescent="0.35">
      <c r="C43" s="3">
        <v>3</v>
      </c>
      <c r="D43" s="8" t="s">
        <v>41</v>
      </c>
      <c r="E43" s="3">
        <v>6</v>
      </c>
      <c r="F43" s="3">
        <v>3050</v>
      </c>
      <c r="G43" s="3">
        <v>6550</v>
      </c>
      <c r="H43" s="3">
        <v>6190</v>
      </c>
      <c r="I43" s="3">
        <v>8155</v>
      </c>
      <c r="J43" s="3">
        <v>9065</v>
      </c>
      <c r="K43" s="3">
        <v>9155</v>
      </c>
      <c r="L43" s="3"/>
      <c r="M43" s="11">
        <f>(((F43*2)/6626)^4)+((((G43+H43)*2)/15086)^4)+((((I43+J43+K43)*2)/22834)^4)</f>
        <v>37.337440566727615</v>
      </c>
      <c r="N43" s="26">
        <f t="shared" si="2"/>
        <v>84330</v>
      </c>
      <c r="O43" s="20">
        <f t="shared" si="3"/>
        <v>52500</v>
      </c>
      <c r="P43" s="3" t="str">
        <f t="shared" si="4"/>
        <v>Yes</v>
      </c>
      <c r="Q43" s="21">
        <f t="shared" si="5"/>
        <v>0.60628571428571432</v>
      </c>
    </row>
    <row r="44" spans="2:17" ht="15" customHeight="1" x14ac:dyDescent="0.35">
      <c r="C44" s="3">
        <v>4</v>
      </c>
      <c r="D44" s="8" t="s">
        <v>42</v>
      </c>
      <c r="E44" s="3">
        <v>6</v>
      </c>
      <c r="F44" s="3">
        <v>3050</v>
      </c>
      <c r="G44" s="3">
        <v>3550</v>
      </c>
      <c r="H44" s="3">
        <v>6190</v>
      </c>
      <c r="I44" s="3">
        <v>8155</v>
      </c>
      <c r="J44" s="3">
        <v>9065</v>
      </c>
      <c r="K44" s="3">
        <v>9155</v>
      </c>
      <c r="L44" s="3"/>
      <c r="M44" s="11">
        <f>(((F44*2)/6626)^4)+(((G44*2)/6626)^4)+(((H44*2)/8155)^4)+(((I44*2)/6626)^4)+(((J44*2)/6626)^4)+(((K44*2)/6626)^4)</f>
        <v>158.42184934134363</v>
      </c>
      <c r="N44" s="26">
        <f t="shared" si="2"/>
        <v>78330</v>
      </c>
      <c r="O44" s="20">
        <f t="shared" si="3"/>
        <v>50925</v>
      </c>
      <c r="P44" s="3" t="str">
        <f t="shared" si="4"/>
        <v>Yes</v>
      </c>
      <c r="Q44" s="21">
        <f t="shared" si="5"/>
        <v>0.53814432989690719</v>
      </c>
    </row>
    <row r="45" spans="2:17" ht="15" customHeight="1" x14ac:dyDescent="0.35">
      <c r="C45" s="3">
        <v>5</v>
      </c>
      <c r="D45" s="8" t="s">
        <v>43</v>
      </c>
      <c r="E45" s="3">
        <v>6</v>
      </c>
      <c r="F45" s="3">
        <v>3050</v>
      </c>
      <c r="G45" s="3">
        <v>6550</v>
      </c>
      <c r="H45" s="3">
        <v>6190</v>
      </c>
      <c r="I45" s="3">
        <v>5355</v>
      </c>
      <c r="J45" s="3">
        <v>5155</v>
      </c>
      <c r="K45" s="3">
        <v>4955</v>
      </c>
      <c r="L45" s="3"/>
      <c r="M45" s="11">
        <f>(((F45*2)/6626)^4)+((((G45+H45)*2)/15086)^4)+(((I45*2)/6626)^4)+(((J45*2)/6626)^4)+(((K45*2)/6626)^4)</f>
        <v>26.547228242740548</v>
      </c>
      <c r="N45" s="26">
        <f t="shared" si="2"/>
        <v>62510</v>
      </c>
      <c r="O45" s="20">
        <f t="shared" si="3"/>
        <v>50925</v>
      </c>
      <c r="P45" s="3" t="str">
        <f t="shared" si="4"/>
        <v>Yes</v>
      </c>
      <c r="Q45" s="21">
        <f t="shared" si="5"/>
        <v>0.2274914089347079</v>
      </c>
    </row>
    <row r="46" spans="2:17" ht="15" customHeight="1" x14ac:dyDescent="0.35">
      <c r="C46" s="3">
        <v>6</v>
      </c>
      <c r="D46" s="8">
        <v>1.21</v>
      </c>
      <c r="E46" s="3">
        <v>3</v>
      </c>
      <c r="F46" s="3">
        <v>3050</v>
      </c>
      <c r="G46" s="3">
        <v>6550</v>
      </c>
      <c r="H46" s="3">
        <v>6190</v>
      </c>
      <c r="I46" s="3"/>
      <c r="J46" s="3"/>
      <c r="K46" s="3"/>
      <c r="L46" s="3"/>
      <c r="M46" s="11">
        <f>(((F46*2)/6626)^4)+(((G46*2)/8155)^4)+(((H46*2)/6626)^4)</f>
        <v>19.563450800955323</v>
      </c>
      <c r="N46" s="26">
        <f t="shared" si="2"/>
        <v>31580</v>
      </c>
      <c r="O46" s="20">
        <f t="shared" si="3"/>
        <v>27300</v>
      </c>
      <c r="P46" s="3" t="str">
        <f t="shared" si="4"/>
        <v>Yes</v>
      </c>
      <c r="Q46" s="21">
        <f t="shared" si="5"/>
        <v>0.15677655677655677</v>
      </c>
    </row>
    <row r="47" spans="2:17" ht="15" customHeight="1" x14ac:dyDescent="0.35">
      <c r="C47" s="3">
        <v>7</v>
      </c>
      <c r="D47" s="8" t="s">
        <v>44</v>
      </c>
      <c r="E47" s="3">
        <v>5</v>
      </c>
      <c r="F47" s="3">
        <v>3050</v>
      </c>
      <c r="G47" s="3">
        <v>6550</v>
      </c>
      <c r="H47" s="3">
        <v>6190</v>
      </c>
      <c r="I47" s="3">
        <v>5355</v>
      </c>
      <c r="J47" s="3">
        <v>5155</v>
      </c>
      <c r="K47" s="3"/>
      <c r="L47" s="3"/>
      <c r="M47" s="11">
        <f>(((F47*2)/6626)^4)+(((G47*2)/6626)^4)+(((H47+I47+J47)*2)/22834)^4</f>
        <v>20.574579645548571</v>
      </c>
      <c r="N47" s="26">
        <f t="shared" si="2"/>
        <v>52600</v>
      </c>
      <c r="O47" s="20">
        <f t="shared" si="3"/>
        <v>42000</v>
      </c>
      <c r="P47" s="3" t="str">
        <f t="shared" si="4"/>
        <v>Yes</v>
      </c>
      <c r="Q47" s="21">
        <f t="shared" si="5"/>
        <v>0.25238095238095237</v>
      </c>
    </row>
    <row r="48" spans="2:17" ht="15" customHeight="1" x14ac:dyDescent="0.35">
      <c r="C48" s="3">
        <v>8</v>
      </c>
      <c r="D48" s="8" t="s">
        <v>45</v>
      </c>
      <c r="E48" s="3">
        <v>6</v>
      </c>
      <c r="F48" s="3">
        <v>3050</v>
      </c>
      <c r="G48" s="3">
        <v>6550</v>
      </c>
      <c r="H48" s="3">
        <v>6190</v>
      </c>
      <c r="I48" s="3">
        <v>5355</v>
      </c>
      <c r="J48" s="3">
        <v>5155</v>
      </c>
      <c r="K48" s="3">
        <v>4955</v>
      </c>
      <c r="L48" s="3"/>
      <c r="M48" s="11">
        <f>(((F48*2)/6626)^4)+(((G48*2)/6626)^4)+(((H48*2)/8155)^4)+((((I48+J48+K48)*2)/22834)^4)</f>
        <v>24.674497139757573</v>
      </c>
      <c r="N48" s="26">
        <f t="shared" si="2"/>
        <v>62510</v>
      </c>
      <c r="O48" s="20">
        <f t="shared" si="3"/>
        <v>52500</v>
      </c>
      <c r="P48" s="3" t="str">
        <f t="shared" si="4"/>
        <v>Yes</v>
      </c>
      <c r="Q48" s="21">
        <f t="shared" si="5"/>
        <v>0.19066666666666668</v>
      </c>
    </row>
    <row r="49" spans="3:17" ht="15" customHeight="1" x14ac:dyDescent="0.35">
      <c r="C49" s="3">
        <v>9</v>
      </c>
      <c r="D49" s="8" t="s">
        <v>46</v>
      </c>
      <c r="E49" s="3">
        <v>5</v>
      </c>
      <c r="F49" s="3">
        <v>3050</v>
      </c>
      <c r="G49" s="3">
        <v>6550</v>
      </c>
      <c r="H49" s="3">
        <v>6190</v>
      </c>
      <c r="I49" s="3">
        <v>5355</v>
      </c>
      <c r="J49" s="3">
        <v>5155</v>
      </c>
      <c r="K49" s="3"/>
      <c r="L49" s="3"/>
      <c r="M49" s="11">
        <f>(((F49*2)/6626)^4)+(((G49*2)/8155)^4)+(((H49+I49+J49)*2)/22834)^4</f>
        <v>11.954822089654272</v>
      </c>
      <c r="N49" s="26">
        <f t="shared" si="2"/>
        <v>52600</v>
      </c>
      <c r="O49" s="20">
        <f t="shared" si="3"/>
        <v>44100</v>
      </c>
      <c r="P49" s="3" t="str">
        <f t="shared" si="4"/>
        <v>Yes</v>
      </c>
      <c r="Q49" s="21">
        <f t="shared" si="5"/>
        <v>0.1927437641723356</v>
      </c>
    </row>
    <row r="50" spans="3:17" ht="15" customHeight="1" x14ac:dyDescent="0.35">
      <c r="C50" s="3">
        <v>10</v>
      </c>
      <c r="D50" s="8" t="s">
        <v>47</v>
      </c>
      <c r="E50" s="3">
        <v>4</v>
      </c>
      <c r="F50" s="3">
        <v>3050</v>
      </c>
      <c r="G50" s="3">
        <v>6550</v>
      </c>
      <c r="H50" s="3">
        <v>6190</v>
      </c>
      <c r="I50" s="3">
        <v>5355</v>
      </c>
      <c r="J50" s="3"/>
      <c r="K50" s="3"/>
      <c r="L50" s="3"/>
      <c r="M50" s="11">
        <f>(((F50*2)/6626)^4)+(((G50*2)/6626)^4)+(((H50+I50)*2)/15086)^4</f>
        <v>21.484581590661776</v>
      </c>
      <c r="N50" s="26">
        <f t="shared" si="2"/>
        <v>42290</v>
      </c>
      <c r="O50" s="20">
        <f t="shared" si="3"/>
        <v>35700</v>
      </c>
      <c r="P50" s="3" t="str">
        <f t="shared" si="4"/>
        <v>Yes</v>
      </c>
      <c r="Q50" s="21">
        <f t="shared" si="5"/>
        <v>0.18459383753501402</v>
      </c>
    </row>
  </sheetData>
  <mergeCells count="15">
    <mergeCell ref="F40:L40"/>
    <mergeCell ref="G20:I20"/>
    <mergeCell ref="G21:I21"/>
    <mergeCell ref="G22:I22"/>
    <mergeCell ref="G23:I23"/>
    <mergeCell ref="G24:I24"/>
    <mergeCell ref="F39:I39"/>
    <mergeCell ref="G19:I19"/>
    <mergeCell ref="C6:C7"/>
    <mergeCell ref="C8:C9"/>
    <mergeCell ref="G14:I14"/>
    <mergeCell ref="G15:I15"/>
    <mergeCell ref="G16:I16"/>
    <mergeCell ref="G17:I17"/>
    <mergeCell ref="G18:I18"/>
  </mergeCells>
  <pageMargins left="0.7" right="0.7" top="0.75" bottom="0.75" header="0.3" footer="0.3"/>
  <pageSetup scale="31" orientation="portrait" verticalDpi="0" r:id="rId1"/>
  <ignoredErrors>
    <ignoredError sqref="D41 D28" numberStoredAsText="1"/>
    <ignoredError sqref="N41 N42:N5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workbookViewId="0">
      <selection activeCell="Y22" sqref="Y22"/>
    </sheetView>
  </sheetViews>
  <sheetFormatPr defaultColWidth="9.1796875" defaultRowHeight="15" customHeight="1" x14ac:dyDescent="0.3"/>
  <cols>
    <col min="1" max="1" width="14.81640625" style="32" bestFit="1" customWidth="1"/>
    <col min="2" max="2" width="19" style="32" customWidth="1"/>
    <col min="3" max="3" width="11.1796875" style="32" customWidth="1"/>
    <col min="4" max="6" width="12" style="32" customWidth="1"/>
    <col min="7" max="7" width="11.1796875" style="32" customWidth="1"/>
    <col min="8" max="8" width="10.26953125" style="32" customWidth="1"/>
    <col min="9" max="16384" width="9.1796875" style="32"/>
  </cols>
  <sheetData>
    <row r="1" spans="1:26" ht="15" customHeight="1" x14ac:dyDescent="0.3">
      <c r="A1" s="34" t="s">
        <v>98</v>
      </c>
      <c r="B1" s="4" t="s">
        <v>99</v>
      </c>
      <c r="C1" s="29"/>
      <c r="D1" s="29"/>
      <c r="E1" s="29"/>
      <c r="F1" s="29"/>
      <c r="G1" s="29"/>
    </row>
    <row r="2" spans="1:26" ht="15" customHeight="1" x14ac:dyDescent="0.3">
      <c r="A2" s="34" t="s">
        <v>100</v>
      </c>
      <c r="B2" s="4" t="s">
        <v>99</v>
      </c>
      <c r="C2" s="33"/>
      <c r="D2" s="33"/>
      <c r="E2" s="33"/>
      <c r="F2" s="33"/>
      <c r="G2" s="33"/>
    </row>
    <row r="3" spans="1:26" ht="15" customHeight="1" x14ac:dyDescent="0.3">
      <c r="B3" s="33"/>
      <c r="C3" s="33"/>
      <c r="D3" s="33"/>
      <c r="E3" s="33"/>
      <c r="F3" s="33"/>
      <c r="G3" s="33"/>
    </row>
    <row r="4" spans="1:26" ht="15" customHeight="1" x14ac:dyDescent="0.3">
      <c r="B4" s="29" t="s">
        <v>101</v>
      </c>
    </row>
    <row r="9" spans="1:26" ht="15" customHeight="1" x14ac:dyDescent="0.3">
      <c r="A9" s="63" t="s">
        <v>1</v>
      </c>
      <c r="B9" s="64" t="s">
        <v>19</v>
      </c>
      <c r="C9" s="60">
        <v>2023</v>
      </c>
      <c r="D9" s="61"/>
      <c r="E9" s="60">
        <v>2024</v>
      </c>
      <c r="F9" s="61"/>
      <c r="G9" s="62" t="s">
        <v>18</v>
      </c>
      <c r="H9" s="62"/>
      <c r="J9" s="63" t="s">
        <v>1</v>
      </c>
      <c r="K9" s="64" t="s">
        <v>19</v>
      </c>
      <c r="L9" s="60">
        <v>2023</v>
      </c>
      <c r="M9" s="61"/>
      <c r="N9" s="60">
        <v>2024</v>
      </c>
      <c r="O9" s="61"/>
      <c r="P9" s="62" t="s">
        <v>18</v>
      </c>
      <c r="Q9" s="62"/>
      <c r="S9" s="63" t="s">
        <v>1</v>
      </c>
      <c r="T9" s="64" t="s">
        <v>19</v>
      </c>
      <c r="U9" s="60">
        <v>2023</v>
      </c>
      <c r="V9" s="61"/>
      <c r="W9" s="60">
        <v>2024</v>
      </c>
      <c r="X9" s="61"/>
      <c r="Y9" s="62" t="s">
        <v>18</v>
      </c>
      <c r="Z9" s="62"/>
    </row>
    <row r="10" spans="1:26" ht="15" customHeight="1" x14ac:dyDescent="0.3">
      <c r="A10" s="63"/>
      <c r="B10" s="65"/>
      <c r="C10" s="27" t="s">
        <v>20</v>
      </c>
      <c r="D10" s="27" t="s">
        <v>21</v>
      </c>
      <c r="E10" s="27" t="s">
        <v>20</v>
      </c>
      <c r="F10" s="27" t="s">
        <v>21</v>
      </c>
      <c r="G10" s="28" t="s">
        <v>20</v>
      </c>
      <c r="H10" s="28" t="s">
        <v>21</v>
      </c>
      <c r="J10" s="63"/>
      <c r="K10" s="65"/>
      <c r="L10" s="27" t="s">
        <v>20</v>
      </c>
      <c r="M10" s="27" t="s">
        <v>21</v>
      </c>
      <c r="N10" s="27" t="s">
        <v>20</v>
      </c>
      <c r="O10" s="27" t="s">
        <v>21</v>
      </c>
      <c r="P10" s="28" t="s">
        <v>20</v>
      </c>
      <c r="Q10" s="28" t="s">
        <v>21</v>
      </c>
      <c r="S10" s="63"/>
      <c r="T10" s="65"/>
      <c r="U10" s="27" t="s">
        <v>20</v>
      </c>
      <c r="V10" s="27" t="s">
        <v>21</v>
      </c>
      <c r="W10" s="27" t="s">
        <v>20</v>
      </c>
      <c r="X10" s="27" t="s">
        <v>21</v>
      </c>
      <c r="Y10" s="28" t="s">
        <v>20</v>
      </c>
      <c r="Z10" s="28" t="s">
        <v>21</v>
      </c>
    </row>
    <row r="11" spans="1:26" ht="15" customHeight="1" x14ac:dyDescent="0.3">
      <c r="A11" s="13">
        <v>1</v>
      </c>
      <c r="B11" s="14" t="s">
        <v>23</v>
      </c>
      <c r="C11" s="15">
        <v>24000</v>
      </c>
      <c r="D11" s="15">
        <v>74000</v>
      </c>
      <c r="E11" s="15">
        <v>24000</v>
      </c>
      <c r="F11" s="15">
        <v>74000</v>
      </c>
      <c r="G11" s="16">
        <f>AVERAGE(C11/$C$23,E11/$E$23)</f>
        <v>0.97627118644067801</v>
      </c>
      <c r="H11" s="16">
        <f>AVERAGE(D11/$D$23,F11/$F$23)</f>
        <v>1.0056625141562854</v>
      </c>
      <c r="J11" s="13">
        <v>1</v>
      </c>
      <c r="K11" s="14" t="s">
        <v>23</v>
      </c>
      <c r="L11" s="15">
        <v>24000</v>
      </c>
      <c r="M11" s="15">
        <v>74000</v>
      </c>
      <c r="N11" s="15">
        <v>24000</v>
      </c>
      <c r="O11" s="15">
        <v>74000</v>
      </c>
      <c r="P11" s="16">
        <f>AVERAGE(L11/$C$23,N11/$E$23)</f>
        <v>0.97627118644067801</v>
      </c>
      <c r="Q11" s="16">
        <f>AVERAGE(M11/$D$23,O11/$F$23)</f>
        <v>1.0056625141562854</v>
      </c>
      <c r="S11" s="13">
        <v>1</v>
      </c>
      <c r="T11" s="14" t="s">
        <v>23</v>
      </c>
      <c r="U11" s="15">
        <v>24000</v>
      </c>
      <c r="V11" s="15">
        <v>74000</v>
      </c>
      <c r="W11" s="15">
        <v>24000</v>
      </c>
      <c r="X11" s="15">
        <v>74000</v>
      </c>
      <c r="Y11" s="16">
        <f>AVERAGE(U11/$C$23,W11/$E$23)</f>
        <v>0.97627118644067801</v>
      </c>
      <c r="Z11" s="16">
        <f>AVERAGE(V11/$D$23,X11/$F$23)</f>
        <v>1.0056625141562854</v>
      </c>
    </row>
    <row r="12" spans="1:26" ht="15" customHeight="1" x14ac:dyDescent="0.3">
      <c r="A12" s="13">
        <v>2</v>
      </c>
      <c r="B12" s="14" t="s">
        <v>24</v>
      </c>
      <c r="C12" s="15">
        <v>24000</v>
      </c>
      <c r="D12" s="15">
        <v>72000</v>
      </c>
      <c r="E12" s="15">
        <v>24000</v>
      </c>
      <c r="F12" s="15">
        <v>72000</v>
      </c>
      <c r="G12" s="16">
        <f t="shared" ref="G12:G22" si="0">AVERAGE(C12/$C$23,E12/$E$23)</f>
        <v>0.97627118644067801</v>
      </c>
      <c r="H12" s="16">
        <f t="shared" ref="H12:H22" si="1">AVERAGE(D12/$D$23,F12/$F$23)</f>
        <v>0.97848244620611557</v>
      </c>
      <c r="J12" s="13">
        <v>2</v>
      </c>
      <c r="K12" s="14" t="s">
        <v>24</v>
      </c>
      <c r="L12" s="15">
        <v>24000</v>
      </c>
      <c r="M12" s="15">
        <v>72000</v>
      </c>
      <c r="N12" s="15">
        <v>24000</v>
      </c>
      <c r="O12" s="15">
        <v>72000</v>
      </c>
      <c r="P12" s="16">
        <f t="shared" ref="P12:P22" si="2">AVERAGE(L12/$C$23,N12/$E$23)</f>
        <v>0.97627118644067801</v>
      </c>
      <c r="Q12" s="16">
        <f t="shared" ref="Q12:Q22" si="3">AVERAGE(M12/$D$23,O12/$F$23)</f>
        <v>0.97848244620611557</v>
      </c>
      <c r="S12" s="13">
        <v>2</v>
      </c>
      <c r="T12" s="14" t="s">
        <v>24</v>
      </c>
      <c r="U12" s="15">
        <v>24000</v>
      </c>
      <c r="V12" s="15">
        <v>72000</v>
      </c>
      <c r="W12" s="15">
        <v>24000</v>
      </c>
      <c r="X12" s="15">
        <v>72000</v>
      </c>
      <c r="Y12" s="16">
        <f t="shared" ref="Y12:Y22" si="4">AVERAGE(U12/$C$23,W12/$E$23)</f>
        <v>0.97627118644067801</v>
      </c>
      <c r="Z12" s="16">
        <f t="shared" ref="Z12:Z22" si="5">AVERAGE(V12/$D$23,X12/$F$23)</f>
        <v>0.97848244620611557</v>
      </c>
    </row>
    <row r="13" spans="1:26" ht="15" customHeight="1" x14ac:dyDescent="0.3">
      <c r="A13" s="13">
        <v>3</v>
      </c>
      <c r="B13" s="14" t="s">
        <v>25</v>
      </c>
      <c r="C13" s="15">
        <v>24000</v>
      </c>
      <c r="D13" s="15">
        <v>74000</v>
      </c>
      <c r="E13" s="15">
        <v>24000</v>
      </c>
      <c r="F13" s="15">
        <v>74000</v>
      </c>
      <c r="G13" s="16">
        <f t="shared" si="0"/>
        <v>0.97627118644067801</v>
      </c>
      <c r="H13" s="16">
        <f t="shared" si="1"/>
        <v>1.0056625141562854</v>
      </c>
      <c r="J13" s="13">
        <v>3</v>
      </c>
      <c r="K13" s="14" t="s">
        <v>25</v>
      </c>
      <c r="L13" s="15">
        <v>24000</v>
      </c>
      <c r="M13" s="15">
        <v>74000</v>
      </c>
      <c r="N13" s="15">
        <v>24000</v>
      </c>
      <c r="O13" s="15">
        <v>74000</v>
      </c>
      <c r="P13" s="16">
        <f t="shared" si="2"/>
        <v>0.97627118644067801</v>
      </c>
      <c r="Q13" s="16">
        <f t="shared" si="3"/>
        <v>1.0056625141562854</v>
      </c>
      <c r="S13" s="13">
        <v>3</v>
      </c>
      <c r="T13" s="14" t="s">
        <v>25</v>
      </c>
      <c r="U13" s="15">
        <v>24000</v>
      </c>
      <c r="V13" s="15">
        <v>74000</v>
      </c>
      <c r="W13" s="15">
        <v>24000</v>
      </c>
      <c r="X13" s="15">
        <v>74000</v>
      </c>
      <c r="Y13" s="16">
        <f t="shared" si="4"/>
        <v>0.97627118644067801</v>
      </c>
      <c r="Z13" s="16">
        <f t="shared" si="5"/>
        <v>1.0056625141562854</v>
      </c>
    </row>
    <row r="14" spans="1:26" ht="15" customHeight="1" x14ac:dyDescent="0.3">
      <c r="A14" s="13">
        <v>4</v>
      </c>
      <c r="B14" s="14" t="s">
        <v>26</v>
      </c>
      <c r="C14" s="15">
        <v>26000</v>
      </c>
      <c r="D14" s="15">
        <v>74000</v>
      </c>
      <c r="E14" s="15">
        <v>26000</v>
      </c>
      <c r="F14" s="15">
        <v>74000</v>
      </c>
      <c r="G14" s="16">
        <f t="shared" si="0"/>
        <v>1.0576271186440678</v>
      </c>
      <c r="H14" s="16">
        <f t="shared" si="1"/>
        <v>1.0056625141562854</v>
      </c>
      <c r="J14" s="13">
        <v>4</v>
      </c>
      <c r="K14" s="14" t="s">
        <v>26</v>
      </c>
      <c r="L14" s="15">
        <v>26000</v>
      </c>
      <c r="M14" s="15">
        <v>74000</v>
      </c>
      <c r="N14" s="15">
        <v>26000</v>
      </c>
      <c r="O14" s="15">
        <v>74000</v>
      </c>
      <c r="P14" s="16">
        <f t="shared" si="2"/>
        <v>1.0576271186440678</v>
      </c>
      <c r="Q14" s="16">
        <f t="shared" si="3"/>
        <v>1.0056625141562854</v>
      </c>
      <c r="S14" s="13">
        <v>4</v>
      </c>
      <c r="T14" s="14" t="s">
        <v>26</v>
      </c>
      <c r="U14" s="15">
        <v>26000</v>
      </c>
      <c r="V14" s="15">
        <v>74000</v>
      </c>
      <c r="W14" s="15">
        <v>26000</v>
      </c>
      <c r="X14" s="15">
        <v>74000</v>
      </c>
      <c r="Y14" s="16">
        <f t="shared" si="4"/>
        <v>1.0576271186440678</v>
      </c>
      <c r="Z14" s="16">
        <f t="shared" si="5"/>
        <v>1.0056625141562854</v>
      </c>
    </row>
    <row r="15" spans="1:26" ht="15" customHeight="1" x14ac:dyDescent="0.3">
      <c r="A15" s="13">
        <v>5</v>
      </c>
      <c r="B15" s="14" t="s">
        <v>27</v>
      </c>
      <c r="C15" s="15">
        <v>24000</v>
      </c>
      <c r="D15" s="15">
        <v>74000</v>
      </c>
      <c r="E15" s="15">
        <v>24000</v>
      </c>
      <c r="F15" s="15">
        <v>74000</v>
      </c>
      <c r="G15" s="16">
        <f t="shared" si="0"/>
        <v>0.97627118644067801</v>
      </c>
      <c r="H15" s="16">
        <f t="shared" si="1"/>
        <v>1.0056625141562854</v>
      </c>
      <c r="J15" s="13">
        <v>5</v>
      </c>
      <c r="K15" s="14" t="s">
        <v>27</v>
      </c>
      <c r="L15" s="15">
        <v>24000</v>
      </c>
      <c r="M15" s="15">
        <v>74000</v>
      </c>
      <c r="N15" s="15">
        <v>24000</v>
      </c>
      <c r="O15" s="15">
        <v>74000</v>
      </c>
      <c r="P15" s="16">
        <f t="shared" si="2"/>
        <v>0.97627118644067801</v>
      </c>
      <c r="Q15" s="16">
        <f t="shared" si="3"/>
        <v>1.0056625141562854</v>
      </c>
      <c r="S15" s="13">
        <v>5</v>
      </c>
      <c r="T15" s="14" t="s">
        <v>27</v>
      </c>
      <c r="U15" s="15">
        <v>24000</v>
      </c>
      <c r="V15" s="15">
        <v>74000</v>
      </c>
      <c r="W15" s="15">
        <v>24000</v>
      </c>
      <c r="X15" s="15">
        <v>74000</v>
      </c>
      <c r="Y15" s="16">
        <f t="shared" si="4"/>
        <v>0.97627118644067801</v>
      </c>
      <c r="Z15" s="16">
        <f t="shared" si="5"/>
        <v>1.0056625141562854</v>
      </c>
    </row>
    <row r="16" spans="1:26" ht="15" customHeight="1" x14ac:dyDescent="0.3">
      <c r="A16" s="13">
        <v>6</v>
      </c>
      <c r="B16" s="14" t="s">
        <v>28</v>
      </c>
      <c r="C16" s="15">
        <v>24000</v>
      </c>
      <c r="D16" s="15">
        <v>72000</v>
      </c>
      <c r="E16" s="15">
        <v>24000</v>
      </c>
      <c r="F16" s="15">
        <v>72000</v>
      </c>
      <c r="G16" s="16">
        <f t="shared" si="0"/>
        <v>0.97627118644067801</v>
      </c>
      <c r="H16" s="16">
        <f t="shared" si="1"/>
        <v>0.97848244620611557</v>
      </c>
      <c r="J16" s="13">
        <v>6</v>
      </c>
      <c r="K16" s="14" t="s">
        <v>28</v>
      </c>
      <c r="L16" s="15">
        <v>24000</v>
      </c>
      <c r="M16" s="15">
        <v>72000</v>
      </c>
      <c r="N16" s="15">
        <v>24000</v>
      </c>
      <c r="O16" s="15">
        <v>72000</v>
      </c>
      <c r="P16" s="16">
        <f t="shared" si="2"/>
        <v>0.97627118644067801</v>
      </c>
      <c r="Q16" s="16">
        <f t="shared" si="3"/>
        <v>0.97848244620611557</v>
      </c>
      <c r="S16" s="13">
        <v>6</v>
      </c>
      <c r="T16" s="14" t="s">
        <v>28</v>
      </c>
      <c r="U16" s="15">
        <v>24000</v>
      </c>
      <c r="V16" s="15">
        <v>72000</v>
      </c>
      <c r="W16" s="15">
        <v>24000</v>
      </c>
      <c r="X16" s="15">
        <v>72000</v>
      </c>
      <c r="Y16" s="16">
        <f t="shared" si="4"/>
        <v>0.97627118644067801</v>
      </c>
      <c r="Z16" s="16">
        <f t="shared" si="5"/>
        <v>0.97848244620611557</v>
      </c>
    </row>
    <row r="17" spans="1:26" ht="15" customHeight="1" x14ac:dyDescent="0.3">
      <c r="A17" s="13">
        <v>7</v>
      </c>
      <c r="B17" s="14" t="s">
        <v>29</v>
      </c>
      <c r="C17" s="15">
        <v>26000</v>
      </c>
      <c r="D17" s="15">
        <v>74000</v>
      </c>
      <c r="E17" s="15">
        <v>26000</v>
      </c>
      <c r="F17" s="15">
        <v>74000</v>
      </c>
      <c r="G17" s="16">
        <f t="shared" si="0"/>
        <v>1.0576271186440678</v>
      </c>
      <c r="H17" s="16">
        <f t="shared" si="1"/>
        <v>1.0056625141562854</v>
      </c>
      <c r="J17" s="13">
        <v>7</v>
      </c>
      <c r="K17" s="14" t="s">
        <v>29</v>
      </c>
      <c r="L17" s="15">
        <v>26000</v>
      </c>
      <c r="M17" s="15">
        <v>74000</v>
      </c>
      <c r="N17" s="15">
        <v>26000</v>
      </c>
      <c r="O17" s="15">
        <v>74000</v>
      </c>
      <c r="P17" s="16">
        <f t="shared" si="2"/>
        <v>1.0576271186440678</v>
      </c>
      <c r="Q17" s="16">
        <f t="shared" si="3"/>
        <v>1.0056625141562854</v>
      </c>
      <c r="S17" s="13">
        <v>7</v>
      </c>
      <c r="T17" s="14" t="s">
        <v>29</v>
      </c>
      <c r="U17" s="15">
        <v>26000</v>
      </c>
      <c r="V17" s="15">
        <v>74000</v>
      </c>
      <c r="W17" s="15">
        <v>26000</v>
      </c>
      <c r="X17" s="15">
        <v>74000</v>
      </c>
      <c r="Y17" s="16">
        <f t="shared" si="4"/>
        <v>1.0576271186440678</v>
      </c>
      <c r="Z17" s="16">
        <f t="shared" si="5"/>
        <v>1.0056625141562854</v>
      </c>
    </row>
    <row r="18" spans="1:26" ht="15" customHeight="1" x14ac:dyDescent="0.3">
      <c r="A18" s="13">
        <v>8</v>
      </c>
      <c r="B18" s="14" t="s">
        <v>30</v>
      </c>
      <c r="C18" s="15">
        <v>24000</v>
      </c>
      <c r="D18" s="15">
        <v>72000</v>
      </c>
      <c r="E18" s="15">
        <v>24000</v>
      </c>
      <c r="F18" s="15">
        <v>72000</v>
      </c>
      <c r="G18" s="16">
        <f t="shared" si="0"/>
        <v>0.97627118644067801</v>
      </c>
      <c r="H18" s="16">
        <f t="shared" si="1"/>
        <v>0.97848244620611557</v>
      </c>
      <c r="J18" s="13">
        <v>8</v>
      </c>
      <c r="K18" s="14" t="s">
        <v>30</v>
      </c>
      <c r="L18" s="15">
        <v>24000</v>
      </c>
      <c r="M18" s="15">
        <v>72000</v>
      </c>
      <c r="N18" s="15">
        <v>24000</v>
      </c>
      <c r="O18" s="15">
        <v>72000</v>
      </c>
      <c r="P18" s="16">
        <f t="shared" si="2"/>
        <v>0.97627118644067801</v>
      </c>
      <c r="Q18" s="16">
        <f t="shared" si="3"/>
        <v>0.97848244620611557</v>
      </c>
      <c r="S18" s="13">
        <v>8</v>
      </c>
      <c r="T18" s="14" t="s">
        <v>30</v>
      </c>
      <c r="U18" s="15">
        <v>24000</v>
      </c>
      <c r="V18" s="15">
        <v>72000</v>
      </c>
      <c r="W18" s="15">
        <v>24000</v>
      </c>
      <c r="X18" s="15">
        <v>72000</v>
      </c>
      <c r="Y18" s="16">
        <f t="shared" si="4"/>
        <v>0.97627118644067801</v>
      </c>
      <c r="Z18" s="16">
        <f t="shared" si="5"/>
        <v>0.97848244620611557</v>
      </c>
    </row>
    <row r="19" spans="1:26" ht="15" customHeight="1" x14ac:dyDescent="0.3">
      <c r="A19" s="13">
        <v>9</v>
      </c>
      <c r="B19" s="14" t="s">
        <v>31</v>
      </c>
      <c r="C19" s="15">
        <v>24000</v>
      </c>
      <c r="D19" s="15">
        <v>74000</v>
      </c>
      <c r="E19" s="15">
        <v>24000</v>
      </c>
      <c r="F19" s="15">
        <v>74000</v>
      </c>
      <c r="G19" s="16">
        <f t="shared" si="0"/>
        <v>0.97627118644067801</v>
      </c>
      <c r="H19" s="16">
        <f t="shared" si="1"/>
        <v>1.0056625141562854</v>
      </c>
      <c r="J19" s="13">
        <v>9</v>
      </c>
      <c r="K19" s="14" t="s">
        <v>31</v>
      </c>
      <c r="L19" s="15">
        <v>24000</v>
      </c>
      <c r="M19" s="15">
        <v>74000</v>
      </c>
      <c r="N19" s="15">
        <v>24000</v>
      </c>
      <c r="O19" s="15">
        <v>74000</v>
      </c>
      <c r="P19" s="16">
        <f t="shared" si="2"/>
        <v>0.97627118644067801</v>
      </c>
      <c r="Q19" s="16">
        <f t="shared" si="3"/>
        <v>1.0056625141562854</v>
      </c>
      <c r="S19" s="13">
        <v>9</v>
      </c>
      <c r="T19" s="14" t="s">
        <v>31</v>
      </c>
      <c r="U19" s="15">
        <v>24000</v>
      </c>
      <c r="V19" s="15">
        <v>74000</v>
      </c>
      <c r="W19" s="15">
        <v>24000</v>
      </c>
      <c r="X19" s="15">
        <v>74000</v>
      </c>
      <c r="Y19" s="16">
        <f t="shared" si="4"/>
        <v>0.97627118644067801</v>
      </c>
      <c r="Z19" s="16">
        <f t="shared" si="5"/>
        <v>1.0056625141562854</v>
      </c>
    </row>
    <row r="20" spans="1:26" ht="15" customHeight="1" x14ac:dyDescent="0.3">
      <c r="A20" s="13">
        <v>10</v>
      </c>
      <c r="B20" s="14" t="s">
        <v>32</v>
      </c>
      <c r="C20" s="15">
        <v>26000</v>
      </c>
      <c r="D20" s="15">
        <v>72000</v>
      </c>
      <c r="E20" s="15">
        <v>26000</v>
      </c>
      <c r="F20" s="15">
        <v>72000</v>
      </c>
      <c r="G20" s="16">
        <f t="shared" si="0"/>
        <v>1.0576271186440678</v>
      </c>
      <c r="H20" s="16">
        <f t="shared" si="1"/>
        <v>0.97848244620611557</v>
      </c>
      <c r="J20" s="13">
        <v>10</v>
      </c>
      <c r="K20" s="14" t="s">
        <v>32</v>
      </c>
      <c r="L20" s="15">
        <v>26000</v>
      </c>
      <c r="M20" s="15">
        <v>72000</v>
      </c>
      <c r="N20" s="15">
        <v>26000</v>
      </c>
      <c r="O20" s="15">
        <v>72000</v>
      </c>
      <c r="P20" s="16">
        <f t="shared" si="2"/>
        <v>1.0576271186440678</v>
      </c>
      <c r="Q20" s="16">
        <f t="shared" si="3"/>
        <v>0.97848244620611557</v>
      </c>
      <c r="S20" s="13">
        <v>10</v>
      </c>
      <c r="T20" s="14" t="s">
        <v>32</v>
      </c>
      <c r="U20" s="15">
        <v>26000</v>
      </c>
      <c r="V20" s="15">
        <v>72000</v>
      </c>
      <c r="W20" s="15">
        <v>26000</v>
      </c>
      <c r="X20" s="15">
        <v>72000</v>
      </c>
      <c r="Y20" s="16">
        <f t="shared" si="4"/>
        <v>1.0576271186440678</v>
      </c>
      <c r="Z20" s="16">
        <f t="shared" si="5"/>
        <v>0.97848244620611557</v>
      </c>
    </row>
    <row r="21" spans="1:26" ht="15" customHeight="1" x14ac:dyDescent="0.3">
      <c r="A21" s="13">
        <v>11</v>
      </c>
      <c r="B21" s="14" t="s">
        <v>33</v>
      </c>
      <c r="C21" s="15">
        <v>24000</v>
      </c>
      <c r="D21" s="15">
        <v>75000</v>
      </c>
      <c r="E21" s="15">
        <v>24000</v>
      </c>
      <c r="F21" s="15">
        <v>75000</v>
      </c>
      <c r="G21" s="16">
        <f t="shared" si="0"/>
        <v>0.97627118644067801</v>
      </c>
      <c r="H21" s="16">
        <f t="shared" si="1"/>
        <v>1.0192525481313703</v>
      </c>
      <c r="J21" s="13">
        <v>11</v>
      </c>
      <c r="K21" s="14" t="s">
        <v>33</v>
      </c>
      <c r="L21" s="15">
        <v>24000</v>
      </c>
      <c r="M21" s="15">
        <v>75000</v>
      </c>
      <c r="N21" s="15">
        <v>24000</v>
      </c>
      <c r="O21" s="15">
        <v>75000</v>
      </c>
      <c r="P21" s="16">
        <f t="shared" si="2"/>
        <v>0.97627118644067801</v>
      </c>
      <c r="Q21" s="16">
        <f t="shared" si="3"/>
        <v>1.0192525481313703</v>
      </c>
      <c r="S21" s="13">
        <v>11</v>
      </c>
      <c r="T21" s="14" t="s">
        <v>33</v>
      </c>
      <c r="U21" s="15">
        <v>24000</v>
      </c>
      <c r="V21" s="15">
        <v>75000</v>
      </c>
      <c r="W21" s="15">
        <v>24000</v>
      </c>
      <c r="X21" s="15">
        <v>75000</v>
      </c>
      <c r="Y21" s="16">
        <f t="shared" si="4"/>
        <v>0.97627118644067801</v>
      </c>
      <c r="Z21" s="16">
        <f t="shared" si="5"/>
        <v>1.0192525481313703</v>
      </c>
    </row>
    <row r="22" spans="1:26" ht="15" customHeight="1" x14ac:dyDescent="0.3">
      <c r="A22" s="13">
        <v>12</v>
      </c>
      <c r="B22" s="14" t="s">
        <v>34</v>
      </c>
      <c r="C22" s="15">
        <v>25000</v>
      </c>
      <c r="D22" s="15">
        <v>76000</v>
      </c>
      <c r="E22" s="15">
        <v>25000</v>
      </c>
      <c r="F22" s="15">
        <v>76000</v>
      </c>
      <c r="G22" s="16">
        <f t="shared" si="0"/>
        <v>1.0169491525423728</v>
      </c>
      <c r="H22" s="16">
        <f t="shared" si="1"/>
        <v>1.0328425821064553</v>
      </c>
      <c r="J22" s="13">
        <v>12</v>
      </c>
      <c r="K22" s="14" t="s">
        <v>34</v>
      </c>
      <c r="L22" s="15">
        <v>25000</v>
      </c>
      <c r="M22" s="15">
        <v>76000</v>
      </c>
      <c r="N22" s="15">
        <v>25000</v>
      </c>
      <c r="O22" s="15">
        <v>76000</v>
      </c>
      <c r="P22" s="16">
        <f t="shared" si="2"/>
        <v>1.0169491525423728</v>
      </c>
      <c r="Q22" s="16">
        <f t="shared" si="3"/>
        <v>1.0328425821064553</v>
      </c>
      <c r="S22" s="13">
        <v>12</v>
      </c>
      <c r="T22" s="14" t="s">
        <v>34</v>
      </c>
      <c r="U22" s="15">
        <v>25000</v>
      </c>
      <c r="V22" s="15">
        <v>76000</v>
      </c>
      <c r="W22" s="15">
        <v>25000</v>
      </c>
      <c r="X22" s="15">
        <v>76000</v>
      </c>
      <c r="Y22" s="16">
        <f t="shared" si="4"/>
        <v>1.0169491525423728</v>
      </c>
      <c r="Z22" s="16">
        <f t="shared" si="5"/>
        <v>1.0328425821064553</v>
      </c>
    </row>
    <row r="23" spans="1:26" ht="15" customHeight="1" x14ac:dyDescent="0.3">
      <c r="A23" s="13"/>
      <c r="B23" s="17" t="s">
        <v>22</v>
      </c>
      <c r="C23" s="18">
        <v>24583.333333333332</v>
      </c>
      <c r="D23" s="18">
        <v>73583.333333333328</v>
      </c>
      <c r="E23" s="18">
        <v>24583.333333333332</v>
      </c>
      <c r="F23" s="18">
        <v>73583.333333333328</v>
      </c>
      <c r="J23" s="13"/>
      <c r="K23" s="17" t="s">
        <v>22</v>
      </c>
      <c r="L23" s="18">
        <v>24583.333333333332</v>
      </c>
      <c r="M23" s="18">
        <v>73583.333333333328</v>
      </c>
      <c r="N23" s="18">
        <v>24583.333333333332</v>
      </c>
      <c r="O23" s="18">
        <v>73583.333333333328</v>
      </c>
      <c r="S23" s="13"/>
      <c r="T23" s="17" t="s">
        <v>22</v>
      </c>
      <c r="U23" s="18">
        <v>24583.333333333332</v>
      </c>
      <c r="V23" s="18">
        <v>73583.333333333328</v>
      </c>
      <c r="W23" s="18">
        <v>24583.333333333332</v>
      </c>
      <c r="X23" s="18">
        <v>73583.333333333328</v>
      </c>
    </row>
  </sheetData>
  <mergeCells count="15">
    <mergeCell ref="B9:B10"/>
    <mergeCell ref="A9:A10"/>
    <mergeCell ref="G9:H9"/>
    <mergeCell ref="C9:D9"/>
    <mergeCell ref="E9:F9"/>
    <mergeCell ref="P9:Q9"/>
    <mergeCell ref="J9:J10"/>
    <mergeCell ref="K9:K10"/>
    <mergeCell ref="N9:O9"/>
    <mergeCell ref="L9:M9"/>
    <mergeCell ref="W9:X9"/>
    <mergeCell ref="Y9:Z9"/>
    <mergeCell ref="S9:S10"/>
    <mergeCell ref="T9:T10"/>
    <mergeCell ref="U9:V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22" sqref="C22"/>
    </sheetView>
  </sheetViews>
  <sheetFormatPr defaultColWidth="9.1796875" defaultRowHeight="15" customHeight="1" x14ac:dyDescent="0.3"/>
  <cols>
    <col min="1" max="1" width="9.1796875" style="32"/>
    <col min="2" max="2" width="46" style="32" bestFit="1" customWidth="1"/>
    <col min="3" max="3" width="11.7265625" style="32" customWidth="1"/>
    <col min="4" max="4" width="18.453125" style="32" customWidth="1"/>
    <col min="5" max="5" width="17" style="32" customWidth="1"/>
    <col min="6" max="6" width="15.81640625" style="32" customWidth="1"/>
    <col min="7" max="7" width="17.81640625" style="32" customWidth="1"/>
    <col min="8" max="16384" width="9.1796875" style="32"/>
  </cols>
  <sheetData>
    <row r="1" spans="1:7" ht="15" customHeight="1" x14ac:dyDescent="0.3">
      <c r="A1" s="50" t="s">
        <v>124</v>
      </c>
      <c r="D1" s="49" t="s">
        <v>128</v>
      </c>
    </row>
    <row r="2" spans="1:7" ht="15" customHeight="1" x14ac:dyDescent="0.3">
      <c r="B2" s="48" t="s">
        <v>125</v>
      </c>
      <c r="C2" s="2">
        <v>90</v>
      </c>
      <c r="D2" s="72" t="s">
        <v>129</v>
      </c>
      <c r="E2" s="72"/>
      <c r="F2" s="72"/>
      <c r="G2" s="72"/>
    </row>
    <row r="3" spans="1:7" ht="15" customHeight="1" x14ac:dyDescent="0.3">
      <c r="B3" s="48" t="s">
        <v>131</v>
      </c>
      <c r="C3" s="2">
        <v>150</v>
      </c>
      <c r="D3" s="72" t="s">
        <v>130</v>
      </c>
      <c r="E3" s="72"/>
      <c r="F3" s="72"/>
      <c r="G3" s="72"/>
    </row>
    <row r="4" spans="1:7" ht="15" customHeight="1" x14ac:dyDescent="0.3">
      <c r="B4" s="48" t="s">
        <v>148</v>
      </c>
      <c r="C4" s="2">
        <v>520</v>
      </c>
      <c r="D4" s="72" t="s">
        <v>132</v>
      </c>
      <c r="E4" s="72"/>
      <c r="F4" s="72"/>
      <c r="G4" s="72"/>
    </row>
    <row r="5" spans="1:7" ht="15" customHeight="1" x14ac:dyDescent="0.3">
      <c r="B5" s="48" t="s">
        <v>126</v>
      </c>
      <c r="C5" s="2">
        <f>60*60/90</f>
        <v>40</v>
      </c>
      <c r="D5" s="72" t="s">
        <v>127</v>
      </c>
      <c r="E5" s="72"/>
      <c r="F5" s="72"/>
      <c r="G5" s="72"/>
    </row>
    <row r="6" spans="1:7" ht="15" customHeight="1" x14ac:dyDescent="0.3">
      <c r="B6" s="48" t="s">
        <v>133</v>
      </c>
      <c r="C6" s="40">
        <f>ROUND((C3/C5),0)</f>
        <v>4</v>
      </c>
      <c r="D6" s="72" t="s">
        <v>134</v>
      </c>
      <c r="E6" s="72"/>
      <c r="F6" s="72"/>
      <c r="G6" s="72"/>
    </row>
    <row r="7" spans="1:7" ht="15" customHeight="1" x14ac:dyDescent="0.3">
      <c r="B7" s="48" t="s">
        <v>135</v>
      </c>
      <c r="C7" s="40">
        <f>ROUND((C4/C5),0)</f>
        <v>13</v>
      </c>
      <c r="D7" s="72" t="s">
        <v>136</v>
      </c>
      <c r="E7" s="72"/>
      <c r="F7" s="72"/>
      <c r="G7" s="72"/>
    </row>
    <row r="9" spans="1:7" ht="15" customHeight="1" x14ac:dyDescent="0.3">
      <c r="B9" s="44" t="s">
        <v>137</v>
      </c>
      <c r="C9" s="41" t="s">
        <v>142</v>
      </c>
      <c r="D9" s="41" t="s">
        <v>143</v>
      </c>
      <c r="E9" s="41" t="s">
        <v>149</v>
      </c>
    </row>
    <row r="10" spans="1:7" ht="15" customHeight="1" x14ac:dyDescent="0.3">
      <c r="B10" s="42" t="s">
        <v>139</v>
      </c>
      <c r="C10" s="26">
        <v>2</v>
      </c>
      <c r="D10" s="43">
        <f>C10/$C$13</f>
        <v>0.5</v>
      </c>
      <c r="E10" s="26">
        <v>5</v>
      </c>
    </row>
    <row r="11" spans="1:7" ht="15" customHeight="1" x14ac:dyDescent="0.3">
      <c r="B11" s="42" t="s">
        <v>140</v>
      </c>
      <c r="C11" s="26">
        <v>1</v>
      </c>
      <c r="D11" s="43">
        <f t="shared" ref="D11:D12" si="0">C11/$C$13</f>
        <v>0.25</v>
      </c>
      <c r="E11" s="26">
        <v>11</v>
      </c>
    </row>
    <row r="12" spans="1:7" ht="15" customHeight="1" x14ac:dyDescent="0.3">
      <c r="B12" s="42" t="s">
        <v>141</v>
      </c>
      <c r="C12" s="26">
        <v>1</v>
      </c>
      <c r="D12" s="43">
        <f t="shared" si="0"/>
        <v>0.25</v>
      </c>
      <c r="E12" s="26">
        <v>19</v>
      </c>
    </row>
    <row r="13" spans="1:7" ht="15" customHeight="1" x14ac:dyDescent="0.3">
      <c r="B13" s="44" t="s">
        <v>144</v>
      </c>
      <c r="C13" s="41">
        <f>SUM(C10:C12)</f>
        <v>4</v>
      </c>
      <c r="D13" s="45"/>
      <c r="E13" s="45"/>
    </row>
    <row r="14" spans="1:7" ht="15" customHeight="1" x14ac:dyDescent="0.3">
      <c r="B14" s="44" t="s">
        <v>145</v>
      </c>
      <c r="C14" s="46">
        <f>(C6*D10*E10)+(C6*D11*E11)+(C6*D12*E12)</f>
        <v>40</v>
      </c>
      <c r="D14" s="47" t="s">
        <v>146</v>
      </c>
      <c r="E14" s="45"/>
    </row>
    <row r="15" spans="1:7" ht="15" customHeight="1" x14ac:dyDescent="0.3">
      <c r="B15" s="66"/>
      <c r="C15" s="67"/>
      <c r="D15" s="67"/>
      <c r="E15" s="68"/>
    </row>
    <row r="16" spans="1:7" ht="15" customHeight="1" x14ac:dyDescent="0.3">
      <c r="B16" s="69"/>
      <c r="C16" s="70"/>
      <c r="D16" s="70"/>
      <c r="E16" s="71"/>
    </row>
    <row r="17" spans="2:5" ht="15" customHeight="1" x14ac:dyDescent="0.3">
      <c r="B17" s="44" t="s">
        <v>138</v>
      </c>
      <c r="C17" s="41" t="s">
        <v>142</v>
      </c>
      <c r="D17" s="41" t="s">
        <v>143</v>
      </c>
      <c r="E17" s="41" t="s">
        <v>149</v>
      </c>
    </row>
    <row r="18" spans="2:5" ht="15" customHeight="1" x14ac:dyDescent="0.3">
      <c r="B18" s="42" t="s">
        <v>139</v>
      </c>
      <c r="C18" s="26">
        <v>5</v>
      </c>
      <c r="D18" s="43">
        <f>C18/$C$21</f>
        <v>0.38461538461538464</v>
      </c>
      <c r="E18" s="26">
        <v>5</v>
      </c>
    </row>
    <row r="19" spans="2:5" ht="15" customHeight="1" x14ac:dyDescent="0.3">
      <c r="B19" s="42" t="s">
        <v>140</v>
      </c>
      <c r="C19" s="26">
        <v>4</v>
      </c>
      <c r="D19" s="43">
        <f t="shared" ref="D19:D20" si="1">C19/$C$21</f>
        <v>0.30769230769230771</v>
      </c>
      <c r="E19" s="26">
        <v>11</v>
      </c>
    </row>
    <row r="20" spans="2:5" ht="15" customHeight="1" x14ac:dyDescent="0.3">
      <c r="B20" s="42" t="s">
        <v>141</v>
      </c>
      <c r="C20" s="26">
        <v>4</v>
      </c>
      <c r="D20" s="43">
        <f t="shared" si="1"/>
        <v>0.30769230769230771</v>
      </c>
      <c r="E20" s="26">
        <v>19</v>
      </c>
    </row>
    <row r="21" spans="2:5" ht="15" customHeight="1" x14ac:dyDescent="0.3">
      <c r="B21" s="44" t="s">
        <v>144</v>
      </c>
      <c r="C21" s="41">
        <f>C18+C19+C20</f>
        <v>13</v>
      </c>
      <c r="D21" s="45"/>
      <c r="E21" s="45"/>
    </row>
    <row r="22" spans="2:5" ht="15" customHeight="1" x14ac:dyDescent="0.3">
      <c r="B22" s="44" t="s">
        <v>147</v>
      </c>
      <c r="C22" s="46">
        <f>(C7*D18*E18)+(C7*D19*E19)+(C7*D20*E20)</f>
        <v>145</v>
      </c>
      <c r="D22" s="47" t="s">
        <v>146</v>
      </c>
      <c r="E22" s="45"/>
    </row>
  </sheetData>
  <mergeCells count="7">
    <mergeCell ref="B15:E16"/>
    <mergeCell ref="D2:G2"/>
    <mergeCell ref="D3:G3"/>
    <mergeCell ref="D4:G4"/>
    <mergeCell ref="D5:G5"/>
    <mergeCell ref="D6:G6"/>
    <mergeCell ref="D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G17" sqref="G17"/>
    </sheetView>
  </sheetViews>
  <sheetFormatPr defaultColWidth="9.1796875" defaultRowHeight="15" customHeight="1" x14ac:dyDescent="0.35"/>
  <cols>
    <col min="1" max="1" width="9.1796875" style="25"/>
    <col min="2" max="2" width="16.26953125" style="25" bestFit="1" customWidth="1"/>
    <col min="3" max="3" width="12" style="25" customWidth="1"/>
    <col min="4" max="4" width="14.54296875" style="25" customWidth="1"/>
    <col min="5" max="5" width="14.7265625" style="25" customWidth="1"/>
    <col min="6" max="6" width="13.453125" style="25" customWidth="1"/>
    <col min="7" max="16384" width="9.1796875" style="25"/>
  </cols>
  <sheetData>
    <row r="1" spans="1:6" ht="15" customHeight="1" x14ac:dyDescent="0.35">
      <c r="A1" s="25" t="s">
        <v>76</v>
      </c>
    </row>
    <row r="2" spans="1:6" ht="15" customHeight="1" x14ac:dyDescent="0.35">
      <c r="B2" s="72" t="s">
        <v>77</v>
      </c>
      <c r="C2" s="72"/>
      <c r="D2" s="72"/>
      <c r="E2" s="72"/>
      <c r="F2" s="72"/>
    </row>
    <row r="3" spans="1:6" ht="15" customHeight="1" x14ac:dyDescent="0.35">
      <c r="B3" s="25" t="s">
        <v>78</v>
      </c>
      <c r="C3" s="25" t="s">
        <v>79</v>
      </c>
      <c r="D3" s="25" t="s">
        <v>80</v>
      </c>
      <c r="E3" s="25" t="s">
        <v>81</v>
      </c>
      <c r="F3" s="25" t="s">
        <v>82</v>
      </c>
    </row>
    <row r="6" spans="1:6" ht="15" customHeight="1" x14ac:dyDescent="0.35">
      <c r="A6" s="25" t="s">
        <v>84</v>
      </c>
    </row>
    <row r="7" spans="1:6" ht="15" customHeight="1" x14ac:dyDescent="0.35">
      <c r="B7" s="72" t="s">
        <v>83</v>
      </c>
      <c r="C7" s="72"/>
      <c r="D7" s="72"/>
      <c r="E7" s="72"/>
      <c r="F7" s="72"/>
    </row>
    <row r="8" spans="1:6" ht="15" customHeight="1" x14ac:dyDescent="0.35">
      <c r="B8" s="25" t="s">
        <v>78</v>
      </c>
      <c r="C8" s="25" t="s">
        <v>79</v>
      </c>
      <c r="D8" s="25" t="s">
        <v>80</v>
      </c>
      <c r="E8" s="25" t="s">
        <v>81</v>
      </c>
      <c r="F8" s="25" t="s">
        <v>82</v>
      </c>
    </row>
    <row r="11" spans="1:6" ht="15" customHeight="1" x14ac:dyDescent="0.35">
      <c r="A11" s="25" t="s">
        <v>88</v>
      </c>
    </row>
    <row r="12" spans="1:6" ht="15" customHeight="1" x14ac:dyDescent="0.35">
      <c r="B12" s="72" t="s">
        <v>85</v>
      </c>
      <c r="C12" s="72"/>
      <c r="D12" s="72"/>
      <c r="E12" s="72"/>
      <c r="F12" s="72"/>
    </row>
    <row r="13" spans="1:6" ht="15" customHeight="1" x14ac:dyDescent="0.35">
      <c r="B13" s="25" t="s">
        <v>86</v>
      </c>
      <c r="C13" s="25" t="s">
        <v>87</v>
      </c>
    </row>
    <row r="16" spans="1:6" ht="15" customHeight="1" x14ac:dyDescent="0.35">
      <c r="A16" s="25" t="s">
        <v>89</v>
      </c>
      <c r="B16" s="25" t="s">
        <v>90</v>
      </c>
    </row>
  </sheetData>
  <mergeCells count="3">
    <mergeCell ref="B2:F2"/>
    <mergeCell ref="B7:F7"/>
    <mergeCell ref="B12:F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Road Importance</vt:lpstr>
      <vt:lpstr>Load Characteristics &amp; Overload</vt:lpstr>
      <vt:lpstr>SCF</vt:lpstr>
      <vt:lpstr>Queuing length</vt:lpstr>
      <vt:lpstr>E80_Working</vt:lpstr>
      <vt:lpstr>Blading Frequency</vt:lpstr>
      <vt:lpstr>'Load Characteristics &amp; Overload'!Print_Area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Phaneendra Kommineni</dc:creator>
  <cp:lastModifiedBy>Ravishekar Gotimukul</cp:lastModifiedBy>
  <dcterms:created xsi:type="dcterms:W3CDTF">2024-03-04T09:55:28Z</dcterms:created>
  <dcterms:modified xsi:type="dcterms:W3CDTF">2024-03-11T10:39:07Z</dcterms:modified>
</cp:coreProperties>
</file>